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15" windowWidth="15330" windowHeight="4305" activeTab="0"/>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2">'BS'!$A$1:$G$59</definedName>
    <definedName name="_xlnm.Print_Area" localSheetId="5">'Cash Flow'!$A$1:$I$65</definedName>
    <definedName name="_xlnm.Print_Area" localSheetId="4">'Equity'!$A$1:$J$70</definedName>
    <definedName name="_xlnm.Print_Area" localSheetId="6">'Notes-A'!$A$1:$H$178</definedName>
    <definedName name="_xlnm.Print_Area" localSheetId="7">'Notes-B'!$A$1:$I$371</definedName>
    <definedName name="_xlnm.Print_Area" localSheetId="1">'PL'!$A$1:$H$61</definedName>
  </definedNames>
  <calcPr fullCalcOnLoad="1"/>
</workbook>
</file>

<file path=xl/comments7.xml><?xml version="1.0" encoding="utf-8"?>
<comments xmlns="http://schemas.openxmlformats.org/spreadsheetml/2006/main">
  <authors>
    <author>Kementerian Pendidikan</author>
    <author>elaineong</author>
  </authors>
  <commentList>
    <comment ref="H137" authorId="0">
      <text>
        <r>
          <rPr>
            <sz val="8"/>
            <rFont val="Tahoma"/>
            <family val="2"/>
          </rPr>
          <t xml:space="preserve">Planet: USD221,548 - USD95775-USD15173-USD15000-USD15000-USD23200 @ 3.4735
</t>
        </r>
      </text>
    </comment>
    <comment ref="H138" authorId="1">
      <text>
        <r>
          <rPr>
            <sz val="8"/>
            <rFont val="Tahoma"/>
            <family val="2"/>
          </rPr>
          <t xml:space="preserve">Securetrax SGD50k@2.2938, Unilink RM13,824,884
</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<sst xmlns="http://schemas.openxmlformats.org/spreadsheetml/2006/main" count="397" uniqueCount="256">
  <si>
    <t>METRONIC GLOBAL BERHAD (632068-V)</t>
  </si>
  <si>
    <t>(Incorporated in Malaysia)</t>
  </si>
  <si>
    <t>(The figures have not been audited)</t>
  </si>
  <si>
    <t>Revenue</t>
  </si>
  <si>
    <t>Cost of sales</t>
  </si>
  <si>
    <t>Gross profit</t>
  </si>
  <si>
    <t>Other operating income</t>
  </si>
  <si>
    <t>Interest income</t>
  </si>
  <si>
    <t>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</si>
  <si>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</si>
  <si>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</si>
  <si>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</si>
  <si>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</si>
  <si>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</si>
  <si>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</si>
  <si>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</si>
  <si>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</si>
  <si>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</si>
  <si>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</si>
  <si>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</si>
  <si>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</si>
  <si>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</si>
  <si>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</si>
  <si>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</si>
  <si>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</si>
  <si>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</si>
  <si>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</si>
  <si>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</si>
  <si>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</si>
  <si>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</si>
  <si>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</si>
  <si>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</si>
  <si>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</si>
  <si>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</si>
  <si>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</si>
  <si>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</si>
  <si>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Debt and equity securities</t>
  </si>
  <si>
    <t>Off Balance Sheet financial instruments</t>
  </si>
  <si>
    <t>Changes in material litigation</t>
  </si>
  <si>
    <t>Earnings per share</t>
  </si>
  <si>
    <t>Performance Review</t>
  </si>
  <si>
    <t>Profit forecast or profit guarantee</t>
  </si>
  <si>
    <t>- Diluted</t>
  </si>
  <si>
    <t>- Basic</t>
  </si>
  <si>
    <t>Cash flows from operating activities</t>
  </si>
  <si>
    <t>Cash flows from investing activities</t>
  </si>
  <si>
    <t>Cash flows from financing activities</t>
  </si>
  <si>
    <t>Net change in cash and cash equivalents</t>
  </si>
  <si>
    <t>Weighted average number of ordinary shares in issue</t>
  </si>
  <si>
    <t>Finance costs</t>
  </si>
  <si>
    <t>Cash and bank balances</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</si>
  <si>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</si>
  <si>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</si>
  <si>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</si>
  <si>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</si>
  <si>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</si>
  <si>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</si>
  <si>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</si>
  <si>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</si>
  <si>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</si>
  <si>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</si>
  <si>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 comprise the following:-</t>
  </si>
  <si>
    <t>2.</t>
  </si>
  <si>
    <t>1.</t>
  </si>
  <si>
    <t>3.</t>
  </si>
  <si>
    <t>4.</t>
  </si>
  <si>
    <t>5.</t>
  </si>
  <si>
    <t>6.</t>
  </si>
  <si>
    <t>7.</t>
  </si>
  <si>
    <t>8.</t>
  </si>
  <si>
    <t>9.</t>
  </si>
  <si>
    <t>10.</t>
  </si>
  <si>
    <t>11.</t>
  </si>
  <si>
    <t>12.</t>
  </si>
  <si>
    <t>13.</t>
  </si>
  <si>
    <t>Capital commitments</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</si>
  <si>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</si>
  <si>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</si>
  <si>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</si>
  <si>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</si>
  <si>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</si>
  <si>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</si>
  <si>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</si>
  <si>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</si>
  <si>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</si>
  <si>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</si>
  <si>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</si>
  <si>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</si>
  <si>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</si>
  <si>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</si>
  <si>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</si>
  <si>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</si>
  <si>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</si>
  <si>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</si>
  <si>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</si>
  <si>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</si>
  <si>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</si>
  <si>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</si>
  <si>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</si>
  <si>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</si>
  <si>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Rental receivable from MCSB</t>
  </si>
  <si>
    <t>Premium</t>
  </si>
  <si>
    <t>31.3.2004</t>
  </si>
  <si>
    <t>`</t>
  </si>
  <si>
    <t>31.03.2003</t>
  </si>
  <si>
    <t xml:space="preserve">Accounting fee receivable from Metronic Corporation Sdn Bhd </t>
  </si>
  <si>
    <t>Deferred tax expense</t>
  </si>
  <si>
    <t xml:space="preserve">Contract  and maintenance revenue receivable from MH Projects </t>
  </si>
  <si>
    <t>Authorisation for issue</t>
  </si>
  <si>
    <t>Cumulative quarter</t>
  </si>
  <si>
    <t>30.6.2004</t>
  </si>
  <si>
    <t xml:space="preserve">Sdn Bhd ("MHP"), a common director related company </t>
  </si>
  <si>
    <t>Share premium</t>
  </si>
  <si>
    <t>Qualification of audit report of the preceding annual financial statements</t>
  </si>
  <si>
    <t>Material subsequent events</t>
  </si>
  <si>
    <t>Short term deposits</t>
  </si>
  <si>
    <t>Other investments</t>
  </si>
  <si>
    <t>Bank overdrafts (included within short term borrowings)</t>
  </si>
  <si>
    <t>15.</t>
  </si>
  <si>
    <t xml:space="preserve">Individual quarter </t>
  </si>
  <si>
    <t>(Audited)</t>
  </si>
  <si>
    <t xml:space="preserve">Retained profits </t>
  </si>
  <si>
    <t>At cost</t>
  </si>
  <si>
    <t>At carrying value</t>
  </si>
  <si>
    <t>At market value</t>
  </si>
  <si>
    <t>Shareholders' equity</t>
  </si>
  <si>
    <t>Income tax expense:</t>
  </si>
  <si>
    <t>Malaysian income tax</t>
  </si>
  <si>
    <t>31.12.2005</t>
  </si>
  <si>
    <t>Reserve</t>
  </si>
  <si>
    <t>Currency translation differences</t>
  </si>
  <si>
    <t>Deposits at call</t>
  </si>
  <si>
    <t>Development costs</t>
  </si>
  <si>
    <t>31.03.2006</t>
  </si>
  <si>
    <t>AS AT 31 MARCH 2006</t>
  </si>
  <si>
    <t>NON CURRENT ASSETS</t>
  </si>
  <si>
    <t>Investment properties</t>
  </si>
  <si>
    <t>ASSETS</t>
  </si>
  <si>
    <t>EQUITY AND LIABILITIES</t>
  </si>
  <si>
    <t>TOTAL EQUITY AND LIABILITIES</t>
  </si>
  <si>
    <t>TOTAL ASSETS</t>
  </si>
  <si>
    <t>TOTAL LIABILITIES</t>
  </si>
  <si>
    <t>Changes in accounting policies</t>
  </si>
  <si>
    <t xml:space="preserve">Dividends </t>
  </si>
  <si>
    <t>14.</t>
  </si>
  <si>
    <t>29.</t>
  </si>
  <si>
    <t>NET CURRENT ASSETS</t>
  </si>
  <si>
    <t>FINANCED BY:</t>
  </si>
  <si>
    <t>As at 1 January 2006</t>
  </si>
  <si>
    <t>Exchange</t>
  </si>
  <si>
    <t>Exchange reserve</t>
  </si>
  <si>
    <t>Intangeible Asset</t>
  </si>
  <si>
    <t>Intangible assets</t>
  </si>
  <si>
    <t>CONDENSED CONSOLIDATED INCOME STATEMENTS</t>
  </si>
  <si>
    <t xml:space="preserve"> </t>
  </si>
  <si>
    <t>Minority interest</t>
  </si>
  <si>
    <t>TOTAL EQUITY</t>
  </si>
  <si>
    <t>Equity holders of the parent</t>
  </si>
  <si>
    <t>Attributable to:</t>
  </si>
  <si>
    <t>-</t>
  </si>
  <si>
    <t>NON CURRENT LIABILITIES</t>
  </si>
  <si>
    <t>Cash and cash equivalents at the balance sheet date comprise the following:</t>
  </si>
  <si>
    <t>Bank overdraft</t>
  </si>
  <si>
    <t>Bankers' acceptances and trust receipts</t>
  </si>
  <si>
    <t>Administration expenses</t>
  </si>
  <si>
    <t>Equity attributable to equity holders of the parent</t>
  </si>
  <si>
    <t>Profits</t>
  </si>
  <si>
    <t xml:space="preserve">Retained </t>
  </si>
  <si>
    <t>.</t>
  </si>
  <si>
    <t>Contingent liability</t>
  </si>
  <si>
    <t xml:space="preserve">Attributable to Equity Holders of the Parent </t>
  </si>
  <si>
    <t>Minority</t>
  </si>
  <si>
    <t>Interest</t>
  </si>
  <si>
    <t xml:space="preserve">Total </t>
  </si>
  <si>
    <t>Equity</t>
  </si>
  <si>
    <t>Accounting fee receivable from ITG</t>
  </si>
  <si>
    <t>Rental receivable from ITG</t>
  </si>
  <si>
    <t xml:space="preserve">Purchases from ITG Worldwide (M) Sdn Bhd ("ITG"), a company </t>
  </si>
  <si>
    <t>31.12.2006</t>
  </si>
  <si>
    <t>FOR THE QUARTER ENDED</t>
  </si>
  <si>
    <t>As at 1 January 2007</t>
  </si>
  <si>
    <t xml:space="preserve">    Finance cost</t>
  </si>
  <si>
    <t xml:space="preserve">    Profit before tax</t>
  </si>
  <si>
    <t>FRS 117</t>
  </si>
  <si>
    <t>FRS 124</t>
  </si>
  <si>
    <t>Leases</t>
  </si>
  <si>
    <t>Related Party Disclosures</t>
  </si>
  <si>
    <t>Hire purchase payables</t>
  </si>
  <si>
    <t>Segment revenue</t>
  </si>
  <si>
    <t>Segment results</t>
  </si>
  <si>
    <t xml:space="preserve">    Malaysia</t>
  </si>
  <si>
    <t xml:space="preserve">    Overseas</t>
  </si>
  <si>
    <t xml:space="preserve">    Elimination of inter-segment sales</t>
  </si>
  <si>
    <t xml:space="preserve">    Total revenue </t>
  </si>
  <si>
    <t xml:space="preserve">    Total segment results</t>
  </si>
  <si>
    <t xml:space="preserve">RM </t>
  </si>
  <si>
    <t xml:space="preserve">Corporate guarantees issued to a financial institution in respect of </t>
  </si>
  <si>
    <t>Approved and contracted for:</t>
  </si>
  <si>
    <t xml:space="preserve">  - Research and development expenditure</t>
  </si>
  <si>
    <t xml:space="preserve">  - Investment in subsidiaries and associates</t>
  </si>
  <si>
    <t>Profit attributable to ordinary equity holders of the parent (RM)</t>
  </si>
  <si>
    <t>Changes in material litigation (cont'd)</t>
  </si>
  <si>
    <t>Acquisition and subscription of shares in</t>
  </si>
  <si>
    <t>subsidiary by minority shareholder</t>
  </si>
  <si>
    <t>credit facilities granted to subsidiaries</t>
  </si>
  <si>
    <t xml:space="preserve">    Total revenue including </t>
  </si>
  <si>
    <t xml:space="preserve">       inter-segment sales</t>
  </si>
  <si>
    <t>Share of profit of associates</t>
  </si>
  <si>
    <t>Investment in associates</t>
  </si>
  <si>
    <t>Bank overdraft (Note 24)</t>
  </si>
  <si>
    <t>Issue of ordinary shares:</t>
  </si>
  <si>
    <t>pursuant to private placement</t>
  </si>
  <si>
    <t xml:space="preserve">pursuant to acquisition of subsidiary </t>
  </si>
  <si>
    <t>Changes in contingent liabilities and contingent assets</t>
  </si>
  <si>
    <t>Transaction costs</t>
  </si>
  <si>
    <t>subsidiaries by minority shareholders</t>
  </si>
  <si>
    <t>Deferred tax liabilities</t>
  </si>
  <si>
    <t xml:space="preserve">     and associate</t>
  </si>
  <si>
    <t>CONDENSED CONSOLIDATED BALANCE SHEETS</t>
  </si>
  <si>
    <t>CONDENSED CONSOLIDATED CASH FLOW STATEMENTS</t>
  </si>
  <si>
    <t>(iii)</t>
  </si>
  <si>
    <t>an associate of the Company</t>
  </si>
  <si>
    <t>Contract revenue receivable from Ariantec Sdn Bhd ("Ariantec"),</t>
  </si>
  <si>
    <t xml:space="preserve">Purchases and sub-contracting fee payable to Ariantec </t>
  </si>
  <si>
    <t>Final dividend paid</t>
  </si>
  <si>
    <t>pursuant to bonus issue</t>
  </si>
  <si>
    <t>(i) Deed of partnership in the Emirate of Dubai</t>
  </si>
  <si>
    <t>(ii)</t>
  </si>
  <si>
    <t>("MCSB"),  a company in which certain directors have interest</t>
  </si>
  <si>
    <t>Maintenance revenue receivable from Integrated Commerce (M) Sdn Bhd,</t>
  </si>
  <si>
    <t>in which a director has an interest</t>
  </si>
  <si>
    <t>a company in which a director has an interest</t>
  </si>
  <si>
    <t>31 DECEMBER 2007</t>
  </si>
  <si>
    <t>FOR THE FOURTH QUARTER ENDED 31 DECEMBER 2007</t>
  </si>
  <si>
    <t>AS AT 31 DECEMBER 2007</t>
  </si>
  <si>
    <t>FOR THE YEAR ENDED 31 DECEMBER 2007</t>
  </si>
  <si>
    <t>31.12.2007</t>
  </si>
  <si>
    <t>As at 31 December 2006</t>
  </si>
  <si>
    <t>Profit for the year</t>
  </si>
  <si>
    <t>As at 31 December 2007</t>
  </si>
  <si>
    <t>12 months ended</t>
  </si>
  <si>
    <t>Cash and cash equivalents at beginning of the year</t>
  </si>
  <si>
    <t>Cash and cash equivalents at end of the year</t>
  </si>
  <si>
    <t>Significant related party transactions of the Group for the quarter ended 31 December 2007 are as follows:</t>
  </si>
  <si>
    <t>Status of corporate proposals</t>
  </si>
  <si>
    <t>Status of corporate proposals (cont'd)</t>
  </si>
  <si>
    <t>Investments in quoted securities as at 31 December 2007 are as follows:</t>
  </si>
  <si>
    <t>(i)</t>
  </si>
  <si>
    <t>Effects of foreign exchange rate changes</t>
  </si>
  <si>
    <t>Sub-contracting fee payable to ER Mekatron Manufacturing Sdn Bhd,</t>
  </si>
  <si>
    <t>(i) Incorporation of Metronic Saudi Arabia LLC</t>
  </si>
  <si>
    <t>(ii) Share Swap</t>
  </si>
  <si>
    <t>Commentary on prospects</t>
  </si>
  <si>
    <t>Underprovision of income tax in prior years</t>
  </si>
  <si>
    <t>(Loss)/Profit before taxation</t>
  </si>
  <si>
    <t>Net (loss)/profit for the period</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</si>
</sst>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 numFmtId="203" formatCode="#,##0_);[Red]\(#,##0\);\-"/>
    <numFmt numFmtId="204" formatCode="_(* #,##0.00_);_(* \(#,##0.00\);_(* &quot;-&quot;_);_(@_)"/>
    <numFmt numFmtId="205" formatCode="_(* #,##0.0_);_(* \(#,##0.0\);_(* &quot;-&quot;?_);_(@_)"/>
    <numFmt numFmtId="206" formatCode="[$€-2]\ #,##0.00_);[Red]\([$€-2]\ #,##0.00\)"/>
  </numFmts>
  <fonts count="37">
    <font>
      <sz val="10"/>
      <name val="Arial"/>
      <family val="0"/>
    </font>
    <font>
      <b/>
      <sz val="10"/>
      <name val="Arial"/>
      <family val="2"/>
    </font>
    <font>
      <sz val="11"/>
      <name val="MS Sans Serif"/>
      <family val="2"/>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2"/>
    </font>
    <font>
      <u val="single"/>
      <sz val="10"/>
      <color indexed="36"/>
      <name val="Arial"/>
      <family val="2"/>
    </font>
    <font>
      <sz val="10"/>
      <color indexed="53"/>
      <name val="Arial"/>
      <family val="2"/>
    </font>
    <font>
      <sz val="8"/>
      <name val="Tahoma"/>
      <family val="2"/>
    </font>
    <font>
      <b/>
      <sz val="10"/>
      <color indexed="10"/>
      <name val="Arial"/>
      <family val="2"/>
    </font>
    <font>
      <b/>
      <sz val="8"/>
      <name val="Tahoma"/>
      <family val="2"/>
    </font>
    <font>
      <sz val="11"/>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2"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42" applyNumberFormat="1" applyFont="1" applyAlignment="1">
      <alignment/>
    </xf>
    <xf numFmtId="185" fontId="1" fillId="0" borderId="0" xfId="42" applyNumberFormat="1" applyFont="1" applyAlignment="1">
      <alignment/>
    </xf>
    <xf numFmtId="185" fontId="0" fillId="0" borderId="0" xfId="42" applyNumberFormat="1" applyFont="1" applyAlignment="1">
      <alignment horizontal="center"/>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0" xfId="42" applyNumberFormat="1" applyFont="1" applyAlignment="1">
      <alignment horizontal="right"/>
    </xf>
    <xf numFmtId="185" fontId="0" fillId="0" borderId="12" xfId="42" applyNumberFormat="1" applyFont="1" applyBorder="1" applyAlignment="1">
      <alignment/>
    </xf>
    <xf numFmtId="185" fontId="0" fillId="0" borderId="13" xfId="42" applyNumberFormat="1" applyFont="1" applyBorder="1" applyAlignment="1">
      <alignment/>
    </xf>
    <xf numFmtId="185" fontId="0" fillId="0" borderId="0" xfId="42" applyNumberFormat="1" applyFont="1" applyBorder="1" applyAlignment="1">
      <alignment/>
    </xf>
    <xf numFmtId="185" fontId="0" fillId="0" borderId="0" xfId="42" applyNumberFormat="1" applyFont="1" applyAlignment="1">
      <alignment/>
    </xf>
    <xf numFmtId="0" fontId="0" fillId="0" borderId="0" xfId="0" applyAlignment="1">
      <alignment horizontal="center"/>
    </xf>
    <xf numFmtId="185" fontId="0" fillId="0" borderId="0" xfId="0" applyNumberFormat="1" applyAlignment="1">
      <alignment/>
    </xf>
    <xf numFmtId="185" fontId="0" fillId="0" borderId="13" xfId="42" applyNumberFormat="1" applyFon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57"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57"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85" fontId="0" fillId="0" borderId="0" xfId="42" applyNumberFormat="1" applyFont="1" applyAlignment="1">
      <alignment horizontal="left"/>
    </xf>
    <xf numFmtId="185" fontId="0" fillId="0" borderId="0" xfId="42" applyNumberFormat="1" applyFont="1" applyBorder="1" applyAlignment="1">
      <alignment horizontal="center"/>
    </xf>
    <xf numFmtId="0" fontId="0" fillId="0" borderId="0" xfId="0" applyFont="1" applyBorder="1" applyAlignment="1" quotePrefix="1">
      <alignment horizontal="left"/>
    </xf>
    <xf numFmtId="185" fontId="0" fillId="0" borderId="0" xfId="42"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42" applyNumberFormat="1" applyFont="1" applyFill="1" applyAlignment="1">
      <alignment/>
    </xf>
    <xf numFmtId="185" fontId="0" fillId="0" borderId="0" xfId="42" applyNumberFormat="1" applyFont="1" applyFill="1" applyAlignment="1">
      <alignment horizontal="center"/>
    </xf>
    <xf numFmtId="185" fontId="0" fillId="0" borderId="0" xfId="42"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171" fontId="0" fillId="0" borderId="0" xfId="42"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185" fontId="0" fillId="0" borderId="10" xfId="42"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Fill="1" applyBorder="1" applyAlignment="1">
      <alignment/>
    </xf>
    <xf numFmtId="185" fontId="1" fillId="0" borderId="0" xfId="42" applyNumberFormat="1" applyFont="1" applyAlignment="1">
      <alignment horizontal="center"/>
    </xf>
    <xf numFmtId="185" fontId="0" fillId="0" borderId="12" xfId="42" applyNumberFormat="1" applyFont="1" applyBorder="1" applyAlignment="1">
      <alignment/>
    </xf>
    <xf numFmtId="185" fontId="0" fillId="0" borderId="0" xfId="42" applyNumberFormat="1" applyFont="1" applyBorder="1" applyAlignment="1">
      <alignment/>
    </xf>
    <xf numFmtId="185" fontId="0" fillId="0" borderId="11" xfId="42" applyNumberFormat="1" applyFont="1" applyBorder="1" applyAlignment="1">
      <alignment/>
    </xf>
    <xf numFmtId="185" fontId="0" fillId="0" borderId="10" xfId="42" applyNumberFormat="1" applyFont="1" applyBorder="1" applyAlignment="1">
      <alignment/>
    </xf>
    <xf numFmtId="185" fontId="0" fillId="0" borderId="13" xfId="42" applyNumberFormat="1" applyFont="1" applyBorder="1" applyAlignment="1">
      <alignment/>
    </xf>
    <xf numFmtId="0" fontId="11" fillId="0" borderId="0" xfId="0" applyFont="1" applyBorder="1" applyAlignment="1">
      <alignment/>
    </xf>
    <xf numFmtId="0" fontId="11" fillId="0" borderId="0" xfId="0" applyFont="1" applyFill="1" applyBorder="1" applyAlignment="1">
      <alignment/>
    </xf>
    <xf numFmtId="185" fontId="3" fillId="0" borderId="0" xfId="42" applyNumberFormat="1" applyFont="1" applyAlignment="1">
      <alignment/>
    </xf>
    <xf numFmtId="171" fontId="0" fillId="0" borderId="0" xfId="42" applyNumberFormat="1" applyFont="1" applyAlignment="1">
      <alignment horizontal="center"/>
    </xf>
    <xf numFmtId="171" fontId="0" fillId="0" borderId="0" xfId="42" applyNumberFormat="1" applyFont="1" applyAlignment="1">
      <alignment/>
    </xf>
    <xf numFmtId="0" fontId="1" fillId="0" borderId="0" xfId="0" applyFont="1" applyFill="1" applyBorder="1" applyAlignment="1" quotePrefix="1">
      <alignment horizontal="left"/>
    </xf>
    <xf numFmtId="185" fontId="0" fillId="0" borderId="0" xfId="0" applyNumberFormat="1" applyFont="1" applyBorder="1" applyAlignment="1">
      <alignment horizontal="left"/>
    </xf>
    <xf numFmtId="185" fontId="0" fillId="0" borderId="14" xfId="42" applyNumberFormat="1" applyFont="1" applyBorder="1" applyAlignment="1">
      <alignment horizontal="left"/>
    </xf>
    <xf numFmtId="171" fontId="0" fillId="0" borderId="0" xfId="42" applyNumberFormat="1" applyFont="1" applyAlignment="1">
      <alignment horizontal="right"/>
    </xf>
    <xf numFmtId="0" fontId="3" fillId="0" borderId="0" xfId="0" applyFont="1" applyFill="1" applyAlignment="1">
      <alignment/>
    </xf>
    <xf numFmtId="185" fontId="0" fillId="0" borderId="0" xfId="42" applyNumberFormat="1" applyFont="1" applyBorder="1" applyAlignment="1">
      <alignment/>
    </xf>
    <xf numFmtId="0" fontId="0" fillId="0" borderId="0" xfId="0" applyNumberFormat="1" applyFont="1" applyAlignment="1">
      <alignment/>
    </xf>
    <xf numFmtId="171" fontId="0" fillId="0" borderId="0" xfId="42" applyFont="1" applyBorder="1" applyAlignment="1">
      <alignment/>
    </xf>
    <xf numFmtId="185" fontId="0" fillId="0" borderId="0" xfId="0" applyNumberFormat="1" applyFont="1" applyAlignment="1">
      <alignment/>
    </xf>
    <xf numFmtId="10" fontId="0" fillId="0" borderId="0" xfId="60" applyNumberFormat="1" applyFont="1" applyAlignment="1">
      <alignment/>
    </xf>
    <xf numFmtId="0" fontId="1" fillId="0" borderId="0" xfId="0" applyFont="1" applyFill="1" applyAlignment="1">
      <alignment horizontal="center"/>
    </xf>
    <xf numFmtId="185" fontId="0" fillId="0" borderId="15" xfId="42" applyNumberFormat="1" applyFont="1" applyBorder="1" applyAlignment="1">
      <alignment/>
    </xf>
    <xf numFmtId="185" fontId="0" fillId="0" borderId="10" xfId="42" applyNumberFormat="1" applyFont="1" applyBorder="1" applyAlignment="1">
      <alignment horizontal="center"/>
    </xf>
    <xf numFmtId="0" fontId="0" fillId="0" borderId="0" xfId="0" applyNumberFormat="1" applyFont="1" applyBorder="1" applyAlignment="1">
      <alignment horizontal="left"/>
    </xf>
    <xf numFmtId="185" fontId="1" fillId="0" borderId="0" xfId="42" applyNumberFormat="1" applyFont="1" applyBorder="1" applyAlignment="1">
      <alignment horizontal="center"/>
    </xf>
    <xf numFmtId="185" fontId="0" fillId="0" borderId="14" xfId="42" applyNumberFormat="1" applyFont="1" applyBorder="1" applyAlignment="1">
      <alignment/>
    </xf>
    <xf numFmtId="185" fontId="0" fillId="0" borderId="16" xfId="42" applyNumberFormat="1" applyFont="1" applyBorder="1" applyAlignment="1">
      <alignment/>
    </xf>
    <xf numFmtId="185" fontId="0" fillId="0" borderId="14" xfId="42" applyNumberFormat="1" applyFont="1" applyFill="1" applyBorder="1" applyAlignment="1">
      <alignment/>
    </xf>
    <xf numFmtId="171" fontId="0" fillId="0" borderId="14" xfId="42" applyFont="1" applyBorder="1" applyAlignment="1">
      <alignment horizontal="center"/>
    </xf>
    <xf numFmtId="0" fontId="1" fillId="0" borderId="0" xfId="57"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185" fontId="0" fillId="0" borderId="16" xfId="42" applyNumberFormat="1" applyFont="1" applyBorder="1" applyAlignment="1">
      <alignment horizontal="left"/>
    </xf>
    <xf numFmtId="185" fontId="1" fillId="0" borderId="0" xfId="42" applyNumberFormat="1" applyFont="1" applyAlignment="1" quotePrefix="1">
      <alignment horizontal="center"/>
    </xf>
    <xf numFmtId="0" fontId="0" fillId="0" borderId="0" xfId="0" applyNumberFormat="1" applyFont="1" applyAlignment="1">
      <alignment/>
    </xf>
    <xf numFmtId="185" fontId="0" fillId="0" borderId="0" xfId="42" applyNumberFormat="1" applyFont="1" applyFill="1" applyAlignment="1">
      <alignment/>
    </xf>
    <xf numFmtId="0" fontId="0" fillId="0" borderId="0" xfId="0" applyFill="1" applyAlignment="1">
      <alignment/>
    </xf>
    <xf numFmtId="185" fontId="0" fillId="0" borderId="0" xfId="42" applyNumberFormat="1" applyFont="1" applyFill="1" applyAlignment="1">
      <alignment/>
    </xf>
    <xf numFmtId="185" fontId="0" fillId="0" borderId="13" xfId="0" applyNumberFormat="1" applyBorder="1" applyAlignment="1">
      <alignment/>
    </xf>
    <xf numFmtId="185" fontId="0" fillId="0" borderId="0" xfId="42" applyNumberFormat="1" applyFont="1" applyFill="1" applyBorder="1" applyAlignment="1">
      <alignment/>
    </xf>
    <xf numFmtId="185" fontId="0" fillId="0" borderId="16" xfId="42" applyNumberFormat="1" applyFont="1" applyBorder="1" applyAlignment="1">
      <alignment horizontal="center"/>
    </xf>
    <xf numFmtId="171" fontId="0" fillId="0" borderId="0" xfId="42" applyFont="1" applyBorder="1" applyAlignment="1">
      <alignment horizontal="center"/>
    </xf>
    <xf numFmtId="0" fontId="13" fillId="0" borderId="0" xfId="0" applyFont="1" applyBorder="1" applyAlignment="1">
      <alignment horizontal="left"/>
    </xf>
    <xf numFmtId="185" fontId="0" fillId="0" borderId="0" xfId="42" applyNumberFormat="1" applyFont="1" applyFill="1" applyBorder="1" applyAlignment="1">
      <alignment/>
    </xf>
    <xf numFmtId="185" fontId="0" fillId="0" borderId="0" xfId="42" applyNumberFormat="1" applyFont="1" applyFill="1" applyBorder="1" applyAlignment="1">
      <alignment horizontal="center"/>
    </xf>
    <xf numFmtId="0" fontId="1" fillId="0" borderId="0" xfId="0" applyNumberFormat="1" applyFont="1" applyFill="1" applyAlignment="1">
      <alignment horizontal="center"/>
    </xf>
    <xf numFmtId="0" fontId="1" fillId="0" borderId="0" xfId="0" applyFont="1" applyAlignment="1">
      <alignment horizontal="right"/>
    </xf>
    <xf numFmtId="0" fontId="1" fillId="0" borderId="0" xfId="0" applyNumberFormat="1" applyFont="1" applyFill="1" applyAlignment="1">
      <alignment horizontal="right"/>
    </xf>
    <xf numFmtId="0" fontId="0" fillId="0" borderId="0" xfId="0" applyFont="1" applyFill="1" applyBorder="1" applyAlignment="1" quotePrefix="1">
      <alignment/>
    </xf>
    <xf numFmtId="0" fontId="0" fillId="0" borderId="0" xfId="0" applyNumberFormat="1" applyFont="1" applyAlignment="1">
      <alignment horizontal="left"/>
    </xf>
    <xf numFmtId="0" fontId="13" fillId="0" borderId="0" xfId="0" applyFont="1" applyBorder="1" applyAlignment="1">
      <alignment/>
    </xf>
    <xf numFmtId="0" fontId="13" fillId="0" borderId="0" xfId="0" applyFont="1" applyFill="1" applyBorder="1" applyAlignment="1">
      <alignment horizontal="left"/>
    </xf>
    <xf numFmtId="171" fontId="0" fillId="0" borderId="0" xfId="42" applyFont="1" applyAlignment="1">
      <alignment/>
    </xf>
    <xf numFmtId="171" fontId="1" fillId="0" borderId="0" xfId="42" applyFont="1" applyAlignment="1">
      <alignment horizontal="center"/>
    </xf>
    <xf numFmtId="185" fontId="0" fillId="0" borderId="14" xfId="42" applyNumberFormat="1" applyFont="1" applyBorder="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42" applyNumberFormat="1" applyFont="1" applyAlignment="1">
      <alignment horizontal="center"/>
    </xf>
    <xf numFmtId="185" fontId="1" fillId="0" borderId="0" xfId="42" applyNumberFormat="1" applyFont="1" applyFill="1" applyAlignment="1">
      <alignment horizontal="center"/>
    </xf>
    <xf numFmtId="185" fontId="0" fillId="0" borderId="0" xfId="42" applyNumberFormat="1" applyFont="1" applyAlignment="1">
      <alignment horizontal="center"/>
    </xf>
    <xf numFmtId="185" fontId="1" fillId="0" borderId="0" xfId="42" applyNumberFormat="1" applyFont="1" applyBorder="1" applyAlignment="1">
      <alignment horizontal="center"/>
    </xf>
    <xf numFmtId="0" fontId="15"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Alignment="1">
      <alignment horizont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arterly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descr="our_logo"/>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123825</xdr:rowOff>
    </xdr:from>
    <xdr:to>
      <xdr:col>7</xdr:col>
      <xdr:colOff>885825</xdr:colOff>
      <xdr:row>59</xdr:row>
      <xdr:rowOff>66675</xdr:rowOff>
    </xdr:to>
    <xdr:sp>
      <xdr:nvSpPr>
        <xdr:cNvPr id="1" name="Text Box 2"/>
        <xdr:cNvSpPr txBox="1">
          <a:spLocks noChangeArrowheads="1"/>
        </xdr:cNvSpPr>
      </xdr:nvSpPr>
      <xdr:spPr>
        <a:xfrm>
          <a:off x="28575" y="8582025"/>
          <a:ext cx="6134100" cy="590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statements should be read in conjunction with the financial statements for the year ended 31 December 2006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54</xdr:row>
      <xdr:rowOff>47625</xdr:rowOff>
    </xdr:from>
    <xdr:to>
      <xdr:col>6</xdr:col>
      <xdr:colOff>1000125</xdr:colOff>
      <xdr:row>57</xdr:row>
      <xdr:rowOff>123825</xdr:rowOff>
    </xdr:to>
    <xdr:sp>
      <xdr:nvSpPr>
        <xdr:cNvPr id="1" name="Text Box 1"/>
        <xdr:cNvSpPr txBox="1">
          <a:spLocks noChangeArrowheads="1"/>
        </xdr:cNvSpPr>
      </xdr:nvSpPr>
      <xdr:spPr>
        <a:xfrm>
          <a:off x="38100" y="8829675"/>
          <a:ext cx="6248400" cy="561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financial statements for the year ended 31 December 2006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 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period ended 31 December 2005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65</xdr:row>
      <xdr:rowOff>47625</xdr:rowOff>
    </xdr:from>
    <xdr:to>
      <xdr:col>9</xdr:col>
      <xdr:colOff>781050</xdr:colOff>
      <xdr:row>68</xdr:row>
      <xdr:rowOff>133350</xdr:rowOff>
    </xdr:to>
    <xdr:sp>
      <xdr:nvSpPr>
        <xdr:cNvPr id="1" name="Text Box 1"/>
        <xdr:cNvSpPr txBox="1">
          <a:spLocks noChangeArrowheads="1"/>
        </xdr:cNvSpPr>
      </xdr:nvSpPr>
      <xdr:spPr>
        <a:xfrm>
          <a:off x="28575" y="10610850"/>
          <a:ext cx="7715250"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statement of changes in equity should be read in conjunction with the financial statements for the year ended 31 December 2006 and the accompanying explanatory notes attached to the interim financial statements. </a:t>
          </a:r>
        </a:p>
      </xdr:txBody>
    </xdr:sp>
    <xdr:clientData/>
  </xdr:twoCellAnchor>
  <xdr:twoCellAnchor>
    <xdr:from>
      <xdr:col>7</xdr:col>
      <xdr:colOff>142875</xdr:colOff>
      <xdr:row>8</xdr:row>
      <xdr:rowOff>95250</xdr:rowOff>
    </xdr:from>
    <xdr:to>
      <xdr:col>8</xdr:col>
      <xdr:colOff>0</xdr:colOff>
      <xdr:row>8</xdr:row>
      <xdr:rowOff>95250</xdr:rowOff>
    </xdr:to>
    <xdr:sp>
      <xdr:nvSpPr>
        <xdr:cNvPr id="2" name="Line 12"/>
        <xdr:cNvSpPr>
          <a:spLocks/>
        </xdr:cNvSpPr>
      </xdr:nvSpPr>
      <xdr:spPr>
        <a:xfrm flipV="1">
          <a:off x="5629275" y="1390650"/>
          <a:ext cx="6477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8</xdr:row>
      <xdr:rowOff>95250</xdr:rowOff>
    </xdr:from>
    <xdr:to>
      <xdr:col>3</xdr:col>
      <xdr:colOff>590550</xdr:colOff>
      <xdr:row>8</xdr:row>
      <xdr:rowOff>95250</xdr:rowOff>
    </xdr:to>
    <xdr:sp>
      <xdr:nvSpPr>
        <xdr:cNvPr id="3" name="Line 13"/>
        <xdr:cNvSpPr>
          <a:spLocks/>
        </xdr:cNvSpPr>
      </xdr:nvSpPr>
      <xdr:spPr>
        <a:xfrm>
          <a:off x="2438400" y="1390650"/>
          <a:ext cx="5619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142875</xdr:rowOff>
    </xdr:from>
    <xdr:to>
      <xdr:col>8</xdr:col>
      <xdr:colOff>990600</xdr:colOff>
      <xdr:row>63</xdr:row>
      <xdr:rowOff>47625</xdr:rowOff>
    </xdr:to>
    <xdr:sp>
      <xdr:nvSpPr>
        <xdr:cNvPr id="1" name="Text Box 2"/>
        <xdr:cNvSpPr txBox="1">
          <a:spLocks noChangeArrowheads="1"/>
        </xdr:cNvSpPr>
      </xdr:nvSpPr>
      <xdr:spPr>
        <a:xfrm>
          <a:off x="38100" y="8601075"/>
          <a:ext cx="620077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7</xdr:col>
      <xdr:colOff>1047750</xdr:colOff>
      <xdr:row>17</xdr:row>
      <xdr:rowOff>142875</xdr:rowOff>
    </xdr:to>
    <xdr:sp>
      <xdr:nvSpPr>
        <xdr:cNvPr id="1" name="Text Box 1"/>
        <xdr:cNvSpPr txBox="1">
          <a:spLocks noChangeArrowheads="1"/>
        </xdr:cNvSpPr>
      </xdr:nvSpPr>
      <xdr:spPr>
        <a:xfrm>
          <a:off x="266700" y="1447800"/>
          <a:ext cx="6305550" cy="1447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33</xdr:row>
      <xdr:rowOff>9525</xdr:rowOff>
    </xdr:from>
    <xdr:to>
      <xdr:col>7</xdr:col>
      <xdr:colOff>1057275</xdr:colOff>
      <xdr:row>35</xdr:row>
      <xdr:rowOff>57150</xdr:rowOff>
    </xdr:to>
    <xdr:sp>
      <xdr:nvSpPr>
        <xdr:cNvPr id="2" name="Text Box 2"/>
        <xdr:cNvSpPr txBox="1">
          <a:spLocks noChangeArrowheads="1"/>
        </xdr:cNvSpPr>
      </xdr:nvSpPr>
      <xdr:spPr>
        <a:xfrm>
          <a:off x="285750" y="5353050"/>
          <a:ext cx="629602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financial statements for the year ended 31 December 2006 was not subject to any qualification.</a:t>
          </a:r>
        </a:p>
      </xdr:txBody>
    </xdr:sp>
    <xdr:clientData/>
  </xdr:twoCellAnchor>
  <xdr:twoCellAnchor>
    <xdr:from>
      <xdr:col>1</xdr:col>
      <xdr:colOff>0</xdr:colOff>
      <xdr:row>38</xdr:row>
      <xdr:rowOff>9525</xdr:rowOff>
    </xdr:from>
    <xdr:to>
      <xdr:col>7</xdr:col>
      <xdr:colOff>1047750</xdr:colOff>
      <xdr:row>40</xdr:row>
      <xdr:rowOff>19050</xdr:rowOff>
    </xdr:to>
    <xdr:sp>
      <xdr:nvSpPr>
        <xdr:cNvPr id="3" name="Text Box 3"/>
        <xdr:cNvSpPr txBox="1">
          <a:spLocks noChangeArrowheads="1"/>
        </xdr:cNvSpPr>
      </xdr:nvSpPr>
      <xdr:spPr>
        <a:xfrm>
          <a:off x="257175" y="6181725"/>
          <a:ext cx="6315075" cy="333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43</xdr:row>
      <xdr:rowOff>9525</xdr:rowOff>
    </xdr:from>
    <xdr:to>
      <xdr:col>7</xdr:col>
      <xdr:colOff>1066800</xdr:colOff>
      <xdr:row>45</xdr:row>
      <xdr:rowOff>28575</xdr:rowOff>
    </xdr:to>
    <xdr:sp>
      <xdr:nvSpPr>
        <xdr:cNvPr id="4" name="Text Box 4"/>
        <xdr:cNvSpPr txBox="1">
          <a:spLocks noChangeArrowheads="1"/>
        </xdr:cNvSpPr>
      </xdr:nvSpPr>
      <xdr:spPr>
        <a:xfrm>
          <a:off x="257175" y="6991350"/>
          <a:ext cx="6334125" cy="361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9525</xdr:colOff>
      <xdr:row>47</xdr:row>
      <xdr:rowOff>152400</xdr:rowOff>
    </xdr:from>
    <xdr:to>
      <xdr:col>8</xdr:col>
      <xdr:colOff>0</xdr:colOff>
      <xdr:row>49</xdr:row>
      <xdr:rowOff>114300</xdr:rowOff>
    </xdr:to>
    <xdr:sp>
      <xdr:nvSpPr>
        <xdr:cNvPr id="5" name="Text Box 5"/>
        <xdr:cNvSpPr txBox="1">
          <a:spLocks noChangeArrowheads="1"/>
        </xdr:cNvSpPr>
      </xdr:nvSpPr>
      <xdr:spPr>
        <a:xfrm>
          <a:off x="266700" y="7810500"/>
          <a:ext cx="6324600" cy="285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that have had a material effect for the current quarter's results.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85</xdr:row>
      <xdr:rowOff>0</xdr:rowOff>
    </xdr:from>
    <xdr:to>
      <xdr:col>8</xdr:col>
      <xdr:colOff>0</xdr:colOff>
      <xdr:row>87</xdr:row>
      <xdr:rowOff>95250</xdr:rowOff>
    </xdr:to>
    <xdr:sp>
      <xdr:nvSpPr>
        <xdr:cNvPr id="6" name="Text Box 9"/>
        <xdr:cNvSpPr txBox="1">
          <a:spLocks noChangeArrowheads="1"/>
        </xdr:cNvSpPr>
      </xdr:nvSpPr>
      <xdr:spPr>
        <a:xfrm>
          <a:off x="266700" y="13858875"/>
          <a:ext cx="6324600"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2006.</a:t>
          </a:r>
        </a:p>
      </xdr:txBody>
    </xdr:sp>
    <xdr:clientData/>
  </xdr:twoCellAnchor>
  <xdr:twoCellAnchor>
    <xdr:from>
      <xdr:col>1</xdr:col>
      <xdr:colOff>0</xdr:colOff>
      <xdr:row>89</xdr:row>
      <xdr:rowOff>152400</xdr:rowOff>
    </xdr:from>
    <xdr:to>
      <xdr:col>8</xdr:col>
      <xdr:colOff>0</xdr:colOff>
      <xdr:row>92</xdr:row>
      <xdr:rowOff>85725</xdr:rowOff>
    </xdr:to>
    <xdr:sp>
      <xdr:nvSpPr>
        <xdr:cNvPr id="7" name="Text Box 10"/>
        <xdr:cNvSpPr txBox="1">
          <a:spLocks noChangeArrowheads="1"/>
        </xdr:cNvSpPr>
      </xdr:nvSpPr>
      <xdr:spPr>
        <a:xfrm>
          <a:off x="257175" y="14658975"/>
          <a:ext cx="6334125"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23, there were no material events subsequent to the end of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247650</xdr:colOff>
      <xdr:row>117</xdr:row>
      <xdr:rowOff>114300</xdr:rowOff>
    </xdr:from>
    <xdr:to>
      <xdr:col>7</xdr:col>
      <xdr:colOff>1057275</xdr:colOff>
      <xdr:row>120</xdr:row>
      <xdr:rowOff>47625</xdr:rowOff>
    </xdr:to>
    <xdr:sp>
      <xdr:nvSpPr>
        <xdr:cNvPr id="8" name="Text Box 12"/>
        <xdr:cNvSpPr txBox="1">
          <a:spLocks noChangeArrowheads="1"/>
        </xdr:cNvSpPr>
      </xdr:nvSpPr>
      <xdr:spPr>
        <a:xfrm>
          <a:off x="247650" y="19154775"/>
          <a:ext cx="6334125"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contingent liabilities and contingent assets since the last balance sheet as at 31 December 2006 except for the following: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129</xdr:row>
      <xdr:rowOff>0</xdr:rowOff>
    </xdr:from>
    <xdr:to>
      <xdr:col>7</xdr:col>
      <xdr:colOff>1047750</xdr:colOff>
      <xdr:row>131</xdr:row>
      <xdr:rowOff>38100</xdr:rowOff>
    </xdr:to>
    <xdr:sp>
      <xdr:nvSpPr>
        <xdr:cNvPr id="9" name="Text Box 13"/>
        <xdr:cNvSpPr txBox="1">
          <a:spLocks noChangeArrowheads="1"/>
        </xdr:cNvSpPr>
      </xdr:nvSpPr>
      <xdr:spPr>
        <a:xfrm>
          <a:off x="276225" y="20993100"/>
          <a:ext cx="6296025"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amount of capital commitments not provided for in the interim financial statements as at 31 December 2007 is as follows:-
</a:t>
          </a:r>
        </a:p>
      </xdr:txBody>
    </xdr:sp>
    <xdr:clientData/>
  </xdr:twoCellAnchor>
  <xdr:twoCellAnchor>
    <xdr:from>
      <xdr:col>0</xdr:col>
      <xdr:colOff>19050</xdr:colOff>
      <xdr:row>4</xdr:row>
      <xdr:rowOff>19050</xdr:rowOff>
    </xdr:from>
    <xdr:to>
      <xdr:col>7</xdr:col>
      <xdr:colOff>1057275</xdr:colOff>
      <xdr:row>6</xdr:row>
      <xdr:rowOff>57150</xdr:rowOff>
    </xdr:to>
    <xdr:sp>
      <xdr:nvSpPr>
        <xdr:cNvPr id="10" name="Text Box 15"/>
        <xdr:cNvSpPr txBox="1">
          <a:spLocks noChangeArrowheads="1"/>
        </xdr:cNvSpPr>
      </xdr:nvSpPr>
      <xdr:spPr>
        <a:xfrm>
          <a:off x="19050" y="666750"/>
          <a:ext cx="6562725" cy="3619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EXPLANATORY NOTES TO THE FINANCIAL STATEMENTS FOR THE THIRD QUARTER ENDED 30 SEPTEMBER 2007 PURSUANT TO FRS 134</a:t>
          </a:r>
        </a:p>
      </xdr:txBody>
    </xdr:sp>
    <xdr:clientData/>
  </xdr:twoCellAnchor>
  <xdr:twoCellAnchor>
    <xdr:from>
      <xdr:col>0</xdr:col>
      <xdr:colOff>238125</xdr:colOff>
      <xdr:row>173</xdr:row>
      <xdr:rowOff>123825</xdr:rowOff>
    </xdr:from>
    <xdr:to>
      <xdr:col>7</xdr:col>
      <xdr:colOff>1047750</xdr:colOff>
      <xdr:row>177</xdr:row>
      <xdr:rowOff>19050</xdr:rowOff>
    </xdr:to>
    <xdr:sp>
      <xdr:nvSpPr>
        <xdr:cNvPr id="11" name="Text Box 16"/>
        <xdr:cNvSpPr txBox="1">
          <a:spLocks noChangeArrowheads="1"/>
        </xdr:cNvSpPr>
      </xdr:nvSpPr>
      <xdr:spPr>
        <a:xfrm>
          <a:off x="238125" y="28098750"/>
          <a:ext cx="6334125" cy="542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52</xdr:row>
      <xdr:rowOff>0</xdr:rowOff>
    </xdr:from>
    <xdr:to>
      <xdr:col>7</xdr:col>
      <xdr:colOff>1047750</xdr:colOff>
      <xdr:row>54</xdr:row>
      <xdr:rowOff>57150</xdr:rowOff>
    </xdr:to>
    <xdr:sp>
      <xdr:nvSpPr>
        <xdr:cNvPr id="12" name="Text Box 17"/>
        <xdr:cNvSpPr txBox="1">
          <a:spLocks noChangeArrowheads="1"/>
        </xdr:cNvSpPr>
      </xdr:nvSpPr>
      <xdr:spPr>
        <a:xfrm>
          <a:off x="266700" y="8477250"/>
          <a:ext cx="6305550" cy="400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190</xdr:row>
      <xdr:rowOff>0</xdr:rowOff>
    </xdr:from>
    <xdr:to>
      <xdr:col>8</xdr:col>
      <xdr:colOff>0</xdr:colOff>
      <xdr:row>190</xdr:row>
      <xdr:rowOff>0</xdr:rowOff>
    </xdr:to>
    <xdr:sp>
      <xdr:nvSpPr>
        <xdr:cNvPr id="13" name="Text Box 21"/>
        <xdr:cNvSpPr txBox="1">
          <a:spLocks noChangeArrowheads="1"/>
        </xdr:cNvSpPr>
      </xdr:nvSpPr>
      <xdr:spPr>
        <a:xfrm>
          <a:off x="257175" y="30727650"/>
          <a:ext cx="6334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reserve on consolidation was transferred to the consolidated income statement during the quarter under review.</a:t>
          </a:r>
        </a:p>
      </xdr:txBody>
    </xdr:sp>
    <xdr:clientData/>
  </xdr:twoCellAnchor>
  <xdr:twoCellAnchor>
    <xdr:from>
      <xdr:col>1</xdr:col>
      <xdr:colOff>9525</xdr:colOff>
      <xdr:row>63</xdr:row>
      <xdr:rowOff>133350</xdr:rowOff>
    </xdr:from>
    <xdr:to>
      <xdr:col>7</xdr:col>
      <xdr:colOff>1047750</xdr:colOff>
      <xdr:row>65</xdr:row>
      <xdr:rowOff>9525</xdr:rowOff>
    </xdr:to>
    <xdr:sp>
      <xdr:nvSpPr>
        <xdr:cNvPr id="14" name="Text Box 30"/>
        <xdr:cNvSpPr txBox="1">
          <a:spLocks noChangeArrowheads="1"/>
        </xdr:cNvSpPr>
      </xdr:nvSpPr>
      <xdr:spPr>
        <a:xfrm>
          <a:off x="266700" y="10410825"/>
          <a:ext cx="6305550" cy="200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Analysis by geographical segments:</a:t>
          </a:r>
        </a:p>
      </xdr:txBody>
    </xdr:sp>
    <xdr:clientData/>
  </xdr:twoCellAnchor>
  <xdr:oneCellAnchor>
    <xdr:from>
      <xdr:col>2</xdr:col>
      <xdr:colOff>95250</xdr:colOff>
      <xdr:row>31</xdr:row>
      <xdr:rowOff>0</xdr:rowOff>
    </xdr:from>
    <xdr:ext cx="76200" cy="200025"/>
    <xdr:sp>
      <xdr:nvSpPr>
        <xdr:cNvPr id="15" name="Text Box 43"/>
        <xdr:cNvSpPr txBox="1">
          <a:spLocks noChangeArrowheads="1"/>
        </xdr:cNvSpPr>
      </xdr:nvSpPr>
      <xdr:spPr>
        <a:xfrm>
          <a:off x="952500" y="5019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31</xdr:row>
      <xdr:rowOff>0</xdr:rowOff>
    </xdr:from>
    <xdr:to>
      <xdr:col>7</xdr:col>
      <xdr:colOff>1066800</xdr:colOff>
      <xdr:row>31</xdr:row>
      <xdr:rowOff>0</xdr:rowOff>
    </xdr:to>
    <xdr:sp>
      <xdr:nvSpPr>
        <xdr:cNvPr id="16" name="Text Box 51"/>
        <xdr:cNvSpPr txBox="1">
          <a:spLocks noChangeArrowheads="1"/>
        </xdr:cNvSpPr>
      </xdr:nvSpPr>
      <xdr:spPr>
        <a:xfrm>
          <a:off x="266700" y="5019675"/>
          <a:ext cx="6324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current period's presentation of the Group's financial statements is based on the revised requirement of FRS 101, with the comparatives restated to conform with the current period's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20</xdr:row>
      <xdr:rowOff>0</xdr:rowOff>
    </xdr:from>
    <xdr:to>
      <xdr:col>7</xdr:col>
      <xdr:colOff>1047750</xdr:colOff>
      <xdr:row>24</xdr:row>
      <xdr:rowOff>47625</xdr:rowOff>
    </xdr:to>
    <xdr:sp>
      <xdr:nvSpPr>
        <xdr:cNvPr id="17" name="Text Box 53"/>
        <xdr:cNvSpPr txBox="1">
          <a:spLocks noChangeArrowheads="1"/>
        </xdr:cNvSpPr>
      </xdr:nvSpPr>
      <xdr:spPr>
        <a:xfrm>
          <a:off x="266700" y="3238500"/>
          <a:ext cx="6305550" cy="695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and methods of computation adopted by the Group in this interim financial statements are consistent with those of the audited financial statements for the year ended 31 December 2006 except for the adoption of the following new/revised Financial Reporting Standards ("FRSs") effective for financial period beginning on or after 1 October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28</xdr:row>
      <xdr:rowOff>28575</xdr:rowOff>
    </xdr:from>
    <xdr:to>
      <xdr:col>7</xdr:col>
      <xdr:colOff>1047750</xdr:colOff>
      <xdr:row>30</xdr:row>
      <xdr:rowOff>123825</xdr:rowOff>
    </xdr:to>
    <xdr:sp>
      <xdr:nvSpPr>
        <xdr:cNvPr id="18" name="Text Box 54"/>
        <xdr:cNvSpPr txBox="1">
          <a:spLocks noChangeArrowheads="1"/>
        </xdr:cNvSpPr>
      </xdr:nvSpPr>
      <xdr:spPr>
        <a:xfrm>
          <a:off x="266700" y="4562475"/>
          <a:ext cx="6305550"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above FRSs do not have significant financial impact on the group for the current quarter under review.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31</xdr:row>
      <xdr:rowOff>0</xdr:rowOff>
    </xdr:from>
    <xdr:to>
      <xdr:col>7</xdr:col>
      <xdr:colOff>1066800</xdr:colOff>
      <xdr:row>31</xdr:row>
      <xdr:rowOff>0</xdr:rowOff>
    </xdr:to>
    <xdr:sp>
      <xdr:nvSpPr>
        <xdr:cNvPr id="19" name="Text Box 56"/>
        <xdr:cNvSpPr txBox="1">
          <a:spLocks noChangeArrowheads="1"/>
        </xdr:cNvSpPr>
      </xdr:nvSpPr>
      <xdr:spPr>
        <a:xfrm>
          <a:off x="266700" y="5019675"/>
          <a:ext cx="6324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31</xdr:row>
      <xdr:rowOff>0</xdr:rowOff>
    </xdr:from>
    <xdr:to>
      <xdr:col>7</xdr:col>
      <xdr:colOff>1066800</xdr:colOff>
      <xdr:row>31</xdr:row>
      <xdr:rowOff>0</xdr:rowOff>
    </xdr:to>
    <xdr:sp>
      <xdr:nvSpPr>
        <xdr:cNvPr id="20" name="Text Box 57"/>
        <xdr:cNvSpPr txBox="1">
          <a:spLocks noChangeArrowheads="1"/>
        </xdr:cNvSpPr>
      </xdr:nvSpPr>
      <xdr:spPr>
        <a:xfrm>
          <a:off x="266700" y="5019675"/>
          <a:ext cx="6324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 cost less accumulated amortisation and any accumulated impairment losses. Amortisation is provided for on a straight-line basis over the estimated useful life of the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31</xdr:row>
      <xdr:rowOff>0</xdr:rowOff>
    </xdr:from>
    <xdr:to>
      <xdr:col>7</xdr:col>
      <xdr:colOff>1066800</xdr:colOff>
      <xdr:row>31</xdr:row>
      <xdr:rowOff>0</xdr:rowOff>
    </xdr:to>
    <xdr:sp>
      <xdr:nvSpPr>
        <xdr:cNvPr id="21" name="Text Box 61"/>
        <xdr:cNvSpPr txBox="1">
          <a:spLocks noChangeArrowheads="1"/>
        </xdr:cNvSpPr>
      </xdr:nvSpPr>
      <xdr:spPr>
        <a:xfrm>
          <a:off x="266700" y="5019675"/>
          <a:ext cx="6324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solidFill>
                <a:srgbClr val="000000"/>
              </a:solidFill>
              <a:latin typeface="Arial"/>
              <a:ea typeface="Arial"/>
              <a:cs typeface="Arial"/>
            </a:rPr>
            <a:t>. These assets are now required to be presented as prepaid lease payments as a separate line item under non current assets and are amortised on a straight-line basis over the lease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oneCellAnchor>
    <xdr:from>
      <xdr:col>7</xdr:col>
      <xdr:colOff>933450</xdr:colOff>
      <xdr:row>130</xdr:row>
      <xdr:rowOff>0</xdr:rowOff>
    </xdr:from>
    <xdr:ext cx="76200" cy="200025"/>
    <xdr:sp>
      <xdr:nvSpPr>
        <xdr:cNvPr id="22" name="Text Box 72"/>
        <xdr:cNvSpPr txBox="1">
          <a:spLocks noChangeArrowheads="1"/>
        </xdr:cNvSpPr>
      </xdr:nvSpPr>
      <xdr:spPr>
        <a:xfrm>
          <a:off x="6457950" y="21155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180975</xdr:colOff>
      <xdr:row>129</xdr:row>
      <xdr:rowOff>57150</xdr:rowOff>
    </xdr:from>
    <xdr:ext cx="76200" cy="200025"/>
    <xdr:sp>
      <xdr:nvSpPr>
        <xdr:cNvPr id="23" name="Text Box 75"/>
        <xdr:cNvSpPr txBox="1">
          <a:spLocks noChangeArrowheads="1"/>
        </xdr:cNvSpPr>
      </xdr:nvSpPr>
      <xdr:spPr>
        <a:xfrm>
          <a:off x="7048500" y="21050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19050</xdr:colOff>
      <xdr:row>60</xdr:row>
      <xdr:rowOff>9525</xdr:rowOff>
    </xdr:from>
    <xdr:to>
      <xdr:col>7</xdr:col>
      <xdr:colOff>1047750</xdr:colOff>
      <xdr:row>61</xdr:row>
      <xdr:rowOff>66675</xdr:rowOff>
    </xdr:to>
    <xdr:sp>
      <xdr:nvSpPr>
        <xdr:cNvPr id="24" name="Text Box 77"/>
        <xdr:cNvSpPr txBox="1">
          <a:spLocks noChangeArrowheads="1"/>
        </xdr:cNvSpPr>
      </xdr:nvSpPr>
      <xdr:spPr>
        <a:xfrm>
          <a:off x="276225" y="9801225"/>
          <a:ext cx="6296025" cy="2190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 paid during the quarter under review. </a:t>
          </a:r>
        </a:p>
      </xdr:txBody>
    </xdr:sp>
    <xdr:clientData/>
  </xdr:twoCellAnchor>
  <xdr:twoCellAnchor>
    <xdr:from>
      <xdr:col>1</xdr:col>
      <xdr:colOff>0</xdr:colOff>
      <xdr:row>95</xdr:row>
      <xdr:rowOff>9525</xdr:rowOff>
    </xdr:from>
    <xdr:to>
      <xdr:col>7</xdr:col>
      <xdr:colOff>1047750</xdr:colOff>
      <xdr:row>97</xdr:row>
      <xdr:rowOff>123825</xdr:rowOff>
    </xdr:to>
    <xdr:sp>
      <xdr:nvSpPr>
        <xdr:cNvPr id="25" name="Text Box 93"/>
        <xdr:cNvSpPr txBox="1">
          <a:spLocks noChangeArrowheads="1"/>
        </xdr:cNvSpPr>
      </xdr:nvSpPr>
      <xdr:spPr>
        <a:xfrm>
          <a:off x="257175" y="15487650"/>
          <a:ext cx="6315075" cy="438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23 and below, there were no changes in the composition of the Group during the current quarter under review.</a:t>
          </a:r>
        </a:p>
      </xdr:txBody>
    </xdr:sp>
    <xdr:clientData/>
  </xdr:twoCellAnchor>
  <xdr:twoCellAnchor>
    <xdr:from>
      <xdr:col>1</xdr:col>
      <xdr:colOff>180975</xdr:colOff>
      <xdr:row>99</xdr:row>
      <xdr:rowOff>152400</xdr:rowOff>
    </xdr:from>
    <xdr:to>
      <xdr:col>7</xdr:col>
      <xdr:colOff>1047750</xdr:colOff>
      <xdr:row>107</xdr:row>
      <xdr:rowOff>57150</xdr:rowOff>
    </xdr:to>
    <xdr:sp>
      <xdr:nvSpPr>
        <xdr:cNvPr id="26" name="Text Box 114"/>
        <xdr:cNvSpPr txBox="1">
          <a:spLocks noChangeArrowheads="1"/>
        </xdr:cNvSpPr>
      </xdr:nvSpPr>
      <xdr:spPr>
        <a:xfrm>
          <a:off x="438150" y="16278225"/>
          <a:ext cx="6134100" cy="1200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3 December 2007, the Company incorporated a foreign subsidiary in the Kingdom of Saudi Arabia ("KSA") vide a subscription of 450,000 shares of Saudi Arabian Riyal ("SAR") 1.00 each representing 90% equity interest in Metronic Saudi Arabia LLC ("MSA") for a total cash consideration of SAR450,000. The remaining 10% equity interest is held by a local partner, Close Deal (ITMAM AL-ITIFAKIA). The intended principal activities of MSA are design, production and sale of engineering systems for the Information, Communication and Technology Industry in the KSA, specialising in intelligent building management system and integrated security management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247650</xdr:colOff>
      <xdr:row>116</xdr:row>
      <xdr:rowOff>0</xdr:rowOff>
    </xdr:from>
    <xdr:to>
      <xdr:col>7</xdr:col>
      <xdr:colOff>1038225</xdr:colOff>
      <xdr:row>116</xdr:row>
      <xdr:rowOff>0</xdr:rowOff>
    </xdr:to>
    <xdr:sp>
      <xdr:nvSpPr>
        <xdr:cNvPr id="27" name="Text Box 100"/>
        <xdr:cNvSpPr txBox="1">
          <a:spLocks noChangeArrowheads="1"/>
        </xdr:cNvSpPr>
      </xdr:nvSpPr>
      <xdr:spPr>
        <a:xfrm>
          <a:off x="504825" y="18878550"/>
          <a:ext cx="60579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 August 2007, MGB announced that the Company had on 1 August 2007 entered into a Restructuring Agreement (''the Agreement'') with Zonemax Holdings Limited (''Zonemax''), Newtron Company Limited (''Newtron''), Edmund Chuah Choong Eng Huat (''Edmund Chuah'') and Unilink Development Limited (''Unilink") (collectively the ''Parties'' and individually a ''Party'') to carry out the share swap and the restructuring exercise of Unilink (''Proposed Restructuring'').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304800</xdr:colOff>
      <xdr:row>116</xdr:row>
      <xdr:rowOff>0</xdr:rowOff>
    </xdr:from>
    <xdr:to>
      <xdr:col>7</xdr:col>
      <xdr:colOff>1047750</xdr:colOff>
      <xdr:row>116</xdr:row>
      <xdr:rowOff>0</xdr:rowOff>
    </xdr:to>
    <xdr:sp>
      <xdr:nvSpPr>
        <xdr:cNvPr id="28" name="Text Box 102"/>
        <xdr:cNvSpPr txBox="1">
          <a:spLocks noChangeArrowheads="1"/>
        </xdr:cNvSpPr>
      </xdr:nvSpPr>
      <xdr:spPr>
        <a:xfrm>
          <a:off x="561975" y="18878550"/>
          <a:ext cx="60102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proposed Restructuring entails the following conditions:</a:t>
          </a:r>
        </a:p>
      </xdr:txBody>
    </xdr:sp>
    <xdr:clientData/>
  </xdr:twoCellAnchor>
  <xdr:twoCellAnchor>
    <xdr:from>
      <xdr:col>2</xdr:col>
      <xdr:colOff>19050</xdr:colOff>
      <xdr:row>116</xdr:row>
      <xdr:rowOff>0</xdr:rowOff>
    </xdr:from>
    <xdr:to>
      <xdr:col>7</xdr:col>
      <xdr:colOff>1057275</xdr:colOff>
      <xdr:row>116</xdr:row>
      <xdr:rowOff>0</xdr:rowOff>
    </xdr:to>
    <xdr:sp>
      <xdr:nvSpPr>
        <xdr:cNvPr id="29" name="Text Box 103"/>
        <xdr:cNvSpPr txBox="1">
          <a:spLocks noChangeArrowheads="1"/>
        </xdr:cNvSpPr>
      </xdr:nvSpPr>
      <xdr:spPr>
        <a:xfrm>
          <a:off x="876300" y="18878550"/>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proposes to acquire 125 ordinary shares of Hong Kong Dollar (''HK$'') 1.00 each in Unilink (''Unilink Shares'') representing 12.5% equity interest in Unilink from Newtron and/or its nominee; in consideration, MGB shall dispose 10,000 ordinary shares of HK$1.00 each in Hong Kong Broadway Electronics Company Limited (''HK Broadway'') representing 100% equity interest in HK Broadway to Newtron and/or its nominee; ("Proposed Share Swap")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116</xdr:row>
      <xdr:rowOff>0</xdr:rowOff>
    </xdr:from>
    <xdr:to>
      <xdr:col>7</xdr:col>
      <xdr:colOff>1028700</xdr:colOff>
      <xdr:row>116</xdr:row>
      <xdr:rowOff>0</xdr:rowOff>
    </xdr:to>
    <xdr:sp>
      <xdr:nvSpPr>
        <xdr:cNvPr id="30" name="Text Box 104"/>
        <xdr:cNvSpPr txBox="1">
          <a:spLocks noChangeArrowheads="1"/>
        </xdr:cNvSpPr>
      </xdr:nvSpPr>
      <xdr:spPr>
        <a:xfrm>
          <a:off x="866775" y="18878550"/>
          <a:ext cx="5686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Newtron proposes to sell 25 Unilink Shares representing 2.5% equity interest in Unilink to Edmund Chuah and/or his nominee for a cash consideration, or such mode of payment to be agreed between the parties; and</a:t>
          </a:r>
        </a:p>
      </xdr:txBody>
    </xdr:sp>
    <xdr:clientData/>
  </xdr:twoCellAnchor>
  <xdr:twoCellAnchor>
    <xdr:from>
      <xdr:col>1</xdr:col>
      <xdr:colOff>581025</xdr:colOff>
      <xdr:row>116</xdr:row>
      <xdr:rowOff>0</xdr:rowOff>
    </xdr:from>
    <xdr:to>
      <xdr:col>7</xdr:col>
      <xdr:colOff>1038225</xdr:colOff>
      <xdr:row>116</xdr:row>
      <xdr:rowOff>0</xdr:rowOff>
    </xdr:to>
    <xdr:sp>
      <xdr:nvSpPr>
        <xdr:cNvPr id="31" name="Text Box 105"/>
        <xdr:cNvSpPr txBox="1">
          <a:spLocks noChangeArrowheads="1"/>
        </xdr:cNvSpPr>
      </xdr:nvSpPr>
      <xdr:spPr>
        <a:xfrm>
          <a:off x="838200" y="18878550"/>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Edmund Chuah proposes to sell 190,000 ordinary shares of USD1.00 each in Hangzhou Heng-Ai Electronic Co, Ltd (''Heng-Ai'') representing 5% of the registered capital in Heng-Ai to Unilink, and in consideration, Unilink shall issue 26 new Unilink Shares representing 2.5% equity interest in Unilink to Edmund Chuah.
</a:t>
          </a:r>
          <a:r>
            <a:rPr lang="en-US" cap="none" sz="1000" b="0" i="0" u="none" baseline="0">
              <a:solidFill>
                <a:srgbClr val="000000"/>
              </a:solidFill>
              <a:latin typeface="Arial"/>
              <a:ea typeface="Arial"/>
              <a:cs typeface="Arial"/>
            </a:rPr>
            <a:t>
</a:t>
          </a:r>
        </a:p>
      </xdr:txBody>
    </xdr:sp>
    <xdr:clientData/>
  </xdr:twoCellAnchor>
  <xdr:twoCellAnchor>
    <xdr:from>
      <xdr:col>1</xdr:col>
      <xdr:colOff>295275</xdr:colOff>
      <xdr:row>116</xdr:row>
      <xdr:rowOff>0</xdr:rowOff>
    </xdr:from>
    <xdr:to>
      <xdr:col>7</xdr:col>
      <xdr:colOff>1028700</xdr:colOff>
      <xdr:row>116</xdr:row>
      <xdr:rowOff>0</xdr:rowOff>
    </xdr:to>
    <xdr:sp>
      <xdr:nvSpPr>
        <xdr:cNvPr id="32" name="Text Box 112"/>
        <xdr:cNvSpPr txBox="1">
          <a:spLocks noChangeArrowheads="1"/>
        </xdr:cNvSpPr>
      </xdr:nvSpPr>
      <xdr:spPr>
        <a:xfrm>
          <a:off x="552450" y="18878550"/>
          <a:ext cx="60007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Proposed Share Swap has been approved by the shareholders of MGB at the Extraordinary General Meeting (''EGM") held on 24 September 2007.</a:t>
          </a:r>
        </a:p>
      </xdr:txBody>
    </xdr:sp>
    <xdr:clientData/>
  </xdr:twoCellAnchor>
  <xdr:twoCellAnchor>
    <xdr:from>
      <xdr:col>1</xdr:col>
      <xdr:colOff>171450</xdr:colOff>
      <xdr:row>109</xdr:row>
      <xdr:rowOff>142875</xdr:rowOff>
    </xdr:from>
    <xdr:to>
      <xdr:col>7</xdr:col>
      <xdr:colOff>1038225</xdr:colOff>
      <xdr:row>115</xdr:row>
      <xdr:rowOff>114300</xdr:rowOff>
    </xdr:to>
    <xdr:sp>
      <xdr:nvSpPr>
        <xdr:cNvPr id="33" name="Text Box 103"/>
        <xdr:cNvSpPr txBox="1">
          <a:spLocks noChangeArrowheads="1"/>
        </xdr:cNvSpPr>
      </xdr:nvSpPr>
      <xdr:spPr>
        <a:xfrm>
          <a:off x="428625" y="17887950"/>
          <a:ext cx="6134100" cy="942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31 December 2007, MGB acquired 125 ordinary shares of Hong Kong Dollar (''HK$'') 1.00 each in Unilink Development Limited ("Unilink") (''Unilink Shares'') representing 12.5% equity interest in Unilink from Newtron Company Limited ("Newtron"); in consideration, MGB disposed 10,000 ordinary shares of HK$1.00 each in Hong Kong Broadway Electronics Company Limited (''HK Broadway'') representing 100% equity interest in HK Broadway to Newtron.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142875</xdr:rowOff>
    </xdr:from>
    <xdr:to>
      <xdr:col>8</xdr:col>
      <xdr:colOff>1028700</xdr:colOff>
      <xdr:row>16</xdr:row>
      <xdr:rowOff>76200</xdr:rowOff>
    </xdr:to>
    <xdr:sp>
      <xdr:nvSpPr>
        <xdr:cNvPr id="1" name="Text Box 2"/>
        <xdr:cNvSpPr txBox="1">
          <a:spLocks noChangeArrowheads="1"/>
        </xdr:cNvSpPr>
      </xdr:nvSpPr>
      <xdr:spPr>
        <a:xfrm>
          <a:off x="228600" y="1276350"/>
          <a:ext cx="6238875" cy="1390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recorded a revenue of RM14.65 million for the current quarter under review, which is RM14.96 million or 50% lower than the corresponding figure of RM29.61 million for the previous year, mainly attributable to the completion of a project that contributed substantially to previous year revenue.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loss before taxation for the current quarter under review is reported at RM1.79 million, which is RM5.24 million or 152% lower than the profit before taxation of RM3.44 million for the corresponding quarter. The drop in profit before tax is mainly attributable to the drop in revenue and increase in operating expenses for the current quarter under review. </a:t>
          </a:r>
        </a:p>
      </xdr:txBody>
    </xdr:sp>
    <xdr:clientData/>
  </xdr:twoCellAnchor>
  <xdr:twoCellAnchor>
    <xdr:from>
      <xdr:col>1</xdr:col>
      <xdr:colOff>9525</xdr:colOff>
      <xdr:row>68</xdr:row>
      <xdr:rowOff>0</xdr:rowOff>
    </xdr:from>
    <xdr:to>
      <xdr:col>9</xdr:col>
      <xdr:colOff>0</xdr:colOff>
      <xdr:row>69</xdr:row>
      <xdr:rowOff>85725</xdr:rowOff>
    </xdr:to>
    <xdr:sp>
      <xdr:nvSpPr>
        <xdr:cNvPr id="2" name="Text Box 7"/>
        <xdr:cNvSpPr txBox="1">
          <a:spLocks noChangeArrowheads="1"/>
        </xdr:cNvSpPr>
      </xdr:nvSpPr>
      <xdr:spPr>
        <a:xfrm>
          <a:off x="228600" y="11172825"/>
          <a:ext cx="6257925"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properties for the current quarter under review.</a:t>
          </a:r>
        </a:p>
      </xdr:txBody>
    </xdr:sp>
    <xdr:clientData/>
  </xdr:twoCellAnchor>
  <xdr:twoCellAnchor>
    <xdr:from>
      <xdr:col>1</xdr:col>
      <xdr:colOff>9525</xdr:colOff>
      <xdr:row>257</xdr:row>
      <xdr:rowOff>123825</xdr:rowOff>
    </xdr:from>
    <xdr:to>
      <xdr:col>8</xdr:col>
      <xdr:colOff>1028700</xdr:colOff>
      <xdr:row>260</xdr:row>
      <xdr:rowOff>28575</xdr:rowOff>
    </xdr:to>
    <xdr:sp>
      <xdr:nvSpPr>
        <xdr:cNvPr id="3" name="Text Box 10"/>
        <xdr:cNvSpPr txBox="1">
          <a:spLocks noChangeArrowheads="1"/>
        </xdr:cNvSpPr>
      </xdr:nvSpPr>
      <xdr:spPr>
        <a:xfrm>
          <a:off x="228600" y="42271950"/>
          <a:ext cx="62388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266</xdr:row>
      <xdr:rowOff>9525</xdr:rowOff>
    </xdr:from>
    <xdr:to>
      <xdr:col>9</xdr:col>
      <xdr:colOff>0</xdr:colOff>
      <xdr:row>279</xdr:row>
      <xdr:rowOff>95250</xdr:rowOff>
    </xdr:to>
    <xdr:sp>
      <xdr:nvSpPr>
        <xdr:cNvPr id="4" name="Text Box 11"/>
        <xdr:cNvSpPr txBox="1">
          <a:spLocks noChangeArrowheads="1"/>
        </xdr:cNvSpPr>
      </xdr:nvSpPr>
      <xdr:spPr>
        <a:xfrm>
          <a:off x="457200" y="43614975"/>
          <a:ext cx="6029325" cy="2190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On 17 January 2006, UEM's application to determine the suit by way of a Question of Law had been dismissed by the High Court of Shah Alam. MESB had, through its solicitors, filed an application seeking UEM to produce finalisation of accounts between UEM and MESB with regards to the project. The hearing for the said application was on 1 October 2007. In the interim, MESB's solicitors had also filed an application by way of writ sepina seeking Daewoo (M) Sdn Bhd ("Daewoo") to produce finalisation of accounts between Daewoo and UEM with regards to the project. Daewoo had on 12 September 2007 produced the said accounts.  The Court has fixed 4 and 5 November 2008 as the full hearing date for the suit. MESB’s solicitors are of the opinion that MESB has a good chance of succeeding in its claim.</a:t>
          </a:r>
        </a:p>
      </xdr:txBody>
    </xdr:sp>
    <xdr:clientData/>
  </xdr:twoCellAnchor>
  <xdr:twoCellAnchor>
    <xdr:from>
      <xdr:col>1</xdr:col>
      <xdr:colOff>0</xdr:colOff>
      <xdr:row>367</xdr:row>
      <xdr:rowOff>123825</xdr:rowOff>
    </xdr:from>
    <xdr:to>
      <xdr:col>8</xdr:col>
      <xdr:colOff>1038225</xdr:colOff>
      <xdr:row>370</xdr:row>
      <xdr:rowOff>123825</xdr:rowOff>
    </xdr:to>
    <xdr:sp>
      <xdr:nvSpPr>
        <xdr:cNvPr id="5" name="Text Box 13"/>
        <xdr:cNvSpPr txBox="1">
          <a:spLocks noChangeArrowheads="1"/>
        </xdr:cNvSpPr>
      </xdr:nvSpPr>
      <xdr:spPr>
        <a:xfrm>
          <a:off x="219075" y="60112275"/>
          <a:ext cx="6257925" cy="485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28 February 2008.</a:t>
          </a:r>
        </a:p>
      </xdr:txBody>
    </xdr:sp>
    <xdr:clientData/>
  </xdr:twoCellAnchor>
  <xdr:twoCellAnchor>
    <xdr:from>
      <xdr:col>1</xdr:col>
      <xdr:colOff>9525</xdr:colOff>
      <xdr:row>62</xdr:row>
      <xdr:rowOff>9525</xdr:rowOff>
    </xdr:from>
    <xdr:to>
      <xdr:col>9</xdr:col>
      <xdr:colOff>0</xdr:colOff>
      <xdr:row>65</xdr:row>
      <xdr:rowOff>95250</xdr:rowOff>
    </xdr:to>
    <xdr:sp>
      <xdr:nvSpPr>
        <xdr:cNvPr id="6" name="Text Box 14"/>
        <xdr:cNvSpPr txBox="1">
          <a:spLocks noChangeArrowheads="1"/>
        </xdr:cNvSpPr>
      </xdr:nvSpPr>
      <xdr:spPr>
        <a:xfrm>
          <a:off x="228600" y="10210800"/>
          <a:ext cx="6257925"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effective tax rate for the financial year ended 31 December 2007 presented above is higher than the statutory tax rate principally due to the losses of certain subsidiaries which cannot be set off against taxable profits made by other subsidiaries and certain expenses which are not deductible for tax purpose.</a:t>
          </a:r>
        </a:p>
      </xdr:txBody>
    </xdr:sp>
    <xdr:clientData/>
  </xdr:twoCellAnchor>
  <xdr:twoCellAnchor>
    <xdr:from>
      <xdr:col>1</xdr:col>
      <xdr:colOff>38100</xdr:colOff>
      <xdr:row>245</xdr:row>
      <xdr:rowOff>0</xdr:rowOff>
    </xdr:from>
    <xdr:to>
      <xdr:col>8</xdr:col>
      <xdr:colOff>1038225</xdr:colOff>
      <xdr:row>245</xdr:row>
      <xdr:rowOff>0</xdr:rowOff>
    </xdr:to>
    <xdr:sp>
      <xdr:nvSpPr>
        <xdr:cNvPr id="7" name="Text Box 15"/>
        <xdr:cNvSpPr txBox="1">
          <a:spLocks noChangeArrowheads="1"/>
        </xdr:cNvSpPr>
      </xdr:nvSpPr>
      <xdr:spPr>
        <a:xfrm>
          <a:off x="257175" y="40195500"/>
          <a:ext cx="62198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have been utilised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152400</xdr:rowOff>
    </xdr:from>
    <xdr:to>
      <xdr:col>9</xdr:col>
      <xdr:colOff>0</xdr:colOff>
      <xdr:row>51</xdr:row>
      <xdr:rowOff>85725</xdr:rowOff>
    </xdr:to>
    <xdr:sp>
      <xdr:nvSpPr>
        <xdr:cNvPr id="8" name="Text Box 16"/>
        <xdr:cNvSpPr txBox="1">
          <a:spLocks noChangeArrowheads="1"/>
        </xdr:cNvSpPr>
      </xdr:nvSpPr>
      <xdr:spPr>
        <a:xfrm>
          <a:off x="228600" y="8239125"/>
          <a:ext cx="62579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no profit forecast was published by the Group. </a:t>
          </a:r>
        </a:p>
      </xdr:txBody>
    </xdr:sp>
    <xdr:clientData/>
  </xdr:twoCellAnchor>
  <xdr:twoCellAnchor>
    <xdr:from>
      <xdr:col>1</xdr:col>
      <xdr:colOff>0</xdr:colOff>
      <xdr:row>86</xdr:row>
      <xdr:rowOff>0</xdr:rowOff>
    </xdr:from>
    <xdr:to>
      <xdr:col>9</xdr:col>
      <xdr:colOff>0</xdr:colOff>
      <xdr:row>86</xdr:row>
      <xdr:rowOff>0</xdr:rowOff>
    </xdr:to>
    <xdr:sp>
      <xdr:nvSpPr>
        <xdr:cNvPr id="9" name="Text Box 18"/>
        <xdr:cNvSpPr txBox="1">
          <a:spLocks noChangeArrowheads="1"/>
        </xdr:cNvSpPr>
      </xdr:nvSpPr>
      <xdr:spPr>
        <a:xfrm>
          <a:off x="219075" y="14097000"/>
          <a:ext cx="626745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Incorporation of a foreign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report, the Company has yet to remit fund to the PRC for the aforesaid investment. </a:t>
          </a:r>
        </a:p>
      </xdr:txBody>
    </xdr:sp>
    <xdr:clientData/>
  </xdr:twoCellAnchor>
  <xdr:twoCellAnchor>
    <xdr:from>
      <xdr:col>1</xdr:col>
      <xdr:colOff>9525</xdr:colOff>
      <xdr:row>262</xdr:row>
      <xdr:rowOff>0</xdr:rowOff>
    </xdr:from>
    <xdr:to>
      <xdr:col>9</xdr:col>
      <xdr:colOff>0</xdr:colOff>
      <xdr:row>262</xdr:row>
      <xdr:rowOff>0</xdr:rowOff>
    </xdr:to>
    <xdr:sp>
      <xdr:nvSpPr>
        <xdr:cNvPr id="10" name="Text Box 19"/>
        <xdr:cNvSpPr txBox="1">
          <a:spLocks noChangeArrowheads="1"/>
        </xdr:cNvSpPr>
      </xdr:nvSpPr>
      <xdr:spPr>
        <a:xfrm>
          <a:off x="228600" y="42957750"/>
          <a:ext cx="6257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are minimal credit and market risks posed by the above off balance sheet financial instrument as the forward foreign exchange contract was entered into with a reputable financial institution.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0</xdr:colOff>
      <xdr:row>351</xdr:row>
      <xdr:rowOff>133350</xdr:rowOff>
    </xdr:from>
    <xdr:to>
      <xdr:col>8</xdr:col>
      <xdr:colOff>1028700</xdr:colOff>
      <xdr:row>353</xdr:row>
      <xdr:rowOff>66675</xdr:rowOff>
    </xdr:to>
    <xdr:sp>
      <xdr:nvSpPr>
        <xdr:cNvPr id="11" name="Text Box 31"/>
        <xdr:cNvSpPr txBox="1">
          <a:spLocks noChangeArrowheads="1"/>
        </xdr:cNvSpPr>
      </xdr:nvSpPr>
      <xdr:spPr>
        <a:xfrm>
          <a:off x="219075" y="57521475"/>
          <a:ext cx="6248400"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dividend has been declared or recommended in respect of the quarter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353</xdr:row>
      <xdr:rowOff>0</xdr:rowOff>
    </xdr:from>
    <xdr:to>
      <xdr:col>9</xdr:col>
      <xdr:colOff>0</xdr:colOff>
      <xdr:row>353</xdr:row>
      <xdr:rowOff>0</xdr:rowOff>
    </xdr:to>
    <xdr:sp>
      <xdr:nvSpPr>
        <xdr:cNvPr id="12" name="Text Box 32"/>
        <xdr:cNvSpPr txBox="1">
          <a:spLocks noChangeArrowheads="1"/>
        </xdr:cNvSpPr>
      </xdr:nvSpPr>
      <xdr:spPr>
        <a:xfrm>
          <a:off x="495300" y="57711975"/>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0</xdr:col>
      <xdr:colOff>209550</xdr:colOff>
      <xdr:row>262</xdr:row>
      <xdr:rowOff>152400</xdr:rowOff>
    </xdr:from>
    <xdr:to>
      <xdr:col>8</xdr:col>
      <xdr:colOff>1028700</xdr:colOff>
      <xdr:row>265</xdr:row>
      <xdr:rowOff>85725</xdr:rowOff>
    </xdr:to>
    <xdr:sp>
      <xdr:nvSpPr>
        <xdr:cNvPr id="13" name="Text Box 33"/>
        <xdr:cNvSpPr txBox="1">
          <a:spLocks noChangeArrowheads="1"/>
        </xdr:cNvSpPr>
      </xdr:nvSpPr>
      <xdr:spPr>
        <a:xfrm>
          <a:off x="209550" y="43110150"/>
          <a:ext cx="62579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material litigation, including the status of pending material litigation since the last balance sheet date of 31 December 2006, except as disclosed below:
</a:t>
          </a:r>
        </a:p>
      </xdr:txBody>
    </xdr:sp>
    <xdr:clientData/>
  </xdr:twoCellAnchor>
  <xdr:twoCellAnchor>
    <xdr:from>
      <xdr:col>1</xdr:col>
      <xdr:colOff>0</xdr:colOff>
      <xdr:row>84</xdr:row>
      <xdr:rowOff>0</xdr:rowOff>
    </xdr:from>
    <xdr:to>
      <xdr:col>9</xdr:col>
      <xdr:colOff>0</xdr:colOff>
      <xdr:row>85</xdr:row>
      <xdr:rowOff>95250</xdr:rowOff>
    </xdr:to>
    <xdr:sp>
      <xdr:nvSpPr>
        <xdr:cNvPr id="14" name="Text Box 43"/>
        <xdr:cNvSpPr txBox="1">
          <a:spLocks noChangeArrowheads="1"/>
        </xdr:cNvSpPr>
      </xdr:nvSpPr>
      <xdr:spPr>
        <a:xfrm>
          <a:off x="219075" y="13773150"/>
          <a:ext cx="6267450"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following are the corporate proposals announced but not completed as at the date of this announcement: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106</xdr:row>
      <xdr:rowOff>9525</xdr:rowOff>
    </xdr:from>
    <xdr:to>
      <xdr:col>9</xdr:col>
      <xdr:colOff>0</xdr:colOff>
      <xdr:row>109</xdr:row>
      <xdr:rowOff>85725</xdr:rowOff>
    </xdr:to>
    <xdr:sp>
      <xdr:nvSpPr>
        <xdr:cNvPr id="15" name="Text Box 45"/>
        <xdr:cNvSpPr txBox="1">
          <a:spLocks noChangeArrowheads="1"/>
        </xdr:cNvSpPr>
      </xdr:nvSpPr>
      <xdr:spPr>
        <a:xfrm>
          <a:off x="476250" y="17345025"/>
          <a:ext cx="6010275" cy="561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August 2006, the Company had, via its advisor, HWANGDBS Investment Bank Berhad (formerly known as Hwang-DBS Investment Bank Berhad) (formerly known as Hwang-DBS Securities Berhad) ("HWANGDBS")  announced the following proposals: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279</xdr:row>
      <xdr:rowOff>152400</xdr:rowOff>
    </xdr:from>
    <xdr:to>
      <xdr:col>9</xdr:col>
      <xdr:colOff>0</xdr:colOff>
      <xdr:row>289</xdr:row>
      <xdr:rowOff>66675</xdr:rowOff>
    </xdr:to>
    <xdr:sp>
      <xdr:nvSpPr>
        <xdr:cNvPr id="16" name="Text Box 46"/>
        <xdr:cNvSpPr txBox="1">
          <a:spLocks noChangeArrowheads="1"/>
        </xdr:cNvSpPr>
      </xdr:nvSpPr>
      <xdr:spPr>
        <a:xfrm>
          <a:off x="476250" y="45862875"/>
          <a:ext cx="6010275" cy="1533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On 15 November 2005, MESB, being the first (1st) defendant was served with a Writ of Summons dated 24 October 2005 by Lee Bee Leng &amp; two (2) others (“Plaintiffs”) claiming for among others general damages amounting to RM500,000.00 or to be taxed  by the court (“Negligence Claim”) and special damages amounting to RM403,550.00 (“Dependency Claim”) due to the death of the 1st Plaintiff’s husband and 2nd &amp; 3rd Plaintiff’s father. The maximum exposure to liabilities of MESB and University Teknologi Petronas (“UTP”) is therefore estimated at RM903,550.00. The Plaintiffs claimed that the death was caused by the alleged negligence of MESB and UTP. A Statement of Defence was filed with the High Court of Malaysia in Ipoh on 11 January 2006 by MESB’s solicitors. A reply to the Statement of Defence was dated 10 February 2006.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30</xdr:row>
      <xdr:rowOff>142875</xdr:rowOff>
    </xdr:from>
    <xdr:to>
      <xdr:col>8</xdr:col>
      <xdr:colOff>1038225</xdr:colOff>
      <xdr:row>35</xdr:row>
      <xdr:rowOff>57150</xdr:rowOff>
    </xdr:to>
    <xdr:sp>
      <xdr:nvSpPr>
        <xdr:cNvPr id="17" name="Text Box 47"/>
        <xdr:cNvSpPr txBox="1">
          <a:spLocks noChangeArrowheads="1"/>
        </xdr:cNvSpPr>
      </xdr:nvSpPr>
      <xdr:spPr>
        <a:xfrm>
          <a:off x="228600" y="5019675"/>
          <a:ext cx="6248400" cy="752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loss before tax for the current quarter ended 31 December 2007 of RM1.79 million represents a drop of RM2 million from profit before taxation of RM0.21 million for the preceding quarter ended 30 September 2007, which is attributable to higher operating expenses as a result of the provsions made for doubtful debts and obsolete stocks during the current quarter under review.
</a:t>
          </a:r>
        </a:p>
      </xdr:txBody>
    </xdr:sp>
    <xdr:clientData/>
  </xdr:twoCellAnchor>
  <xdr:twoCellAnchor>
    <xdr:from>
      <xdr:col>2</xdr:col>
      <xdr:colOff>19050</xdr:colOff>
      <xdr:row>86</xdr:row>
      <xdr:rowOff>0</xdr:rowOff>
    </xdr:from>
    <xdr:to>
      <xdr:col>9</xdr:col>
      <xdr:colOff>0</xdr:colOff>
      <xdr:row>86</xdr:row>
      <xdr:rowOff>0</xdr:rowOff>
    </xdr:to>
    <xdr:sp>
      <xdr:nvSpPr>
        <xdr:cNvPr id="18" name="Text Box 50"/>
        <xdr:cNvSpPr txBox="1">
          <a:spLocks noChangeArrowheads="1"/>
        </xdr:cNvSpPr>
      </xdr:nvSpPr>
      <xdr:spPr>
        <a:xfrm>
          <a:off x="485775" y="14097000"/>
          <a:ext cx="60007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18 May 2006, MGB announced that the Company had on 17 May 2006 entered into a binding Heads of Agreement with FEELingK Co., Ltd (“FEELingK”) to set up a joint venture company, to be named as FEELingK Malaysia Sdn Bhd (“FKSB”) with the primary objective of deploying Card Notification Solution, Bulk Short Message Services, Voice SMS and the related consultancy, implementation and operations in Malaysia, Pakistan, India, United Arab Emirates, Saudi Arabia, Qatar, Australia, New Zealand and any other countries to be mutually agreed by MGB and FEELingK (“Joint Venture Agreement”).  The shareholdings of the respective joint venture partners shall be as follows: MGB (60%) and FEELingK (40%).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7 July 2006, MGB announced that the Company had on 6 July 2006 acquired 2 ordinary shares of RM1.00 each in FKSB representing 100% of its issued and paid-up share capital for a total cash consideration of RM2.00 from Ng Ah Fong and Teng Mee Leng. On even date, the Company further subscribed 98 ordinary shares of RM1.00 each in FKSB. As at the date of this announcement, both parties are in the midst of finalising a cooperation agreement.</a:t>
          </a:r>
        </a:p>
      </xdr:txBody>
    </xdr:sp>
    <xdr:clientData/>
  </xdr:twoCellAnchor>
  <xdr:twoCellAnchor>
    <xdr:from>
      <xdr:col>2</xdr:col>
      <xdr:colOff>28575</xdr:colOff>
      <xdr:row>88</xdr:row>
      <xdr:rowOff>0</xdr:rowOff>
    </xdr:from>
    <xdr:to>
      <xdr:col>9</xdr:col>
      <xdr:colOff>0</xdr:colOff>
      <xdr:row>99</xdr:row>
      <xdr:rowOff>57150</xdr:rowOff>
    </xdr:to>
    <xdr:sp>
      <xdr:nvSpPr>
        <xdr:cNvPr id="19" name="Text Box 51"/>
        <xdr:cNvSpPr txBox="1">
          <a:spLocks noChangeArrowheads="1"/>
        </xdr:cNvSpPr>
      </xdr:nvSpPr>
      <xdr:spPr>
        <a:xfrm>
          <a:off x="495300" y="14420850"/>
          <a:ext cx="5991225" cy="1838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has been no changes in the status of the JVC since the last announcement.</a:t>
          </a:r>
        </a:p>
      </xdr:txBody>
    </xdr:sp>
    <xdr:clientData/>
  </xdr:twoCellAnchor>
  <xdr:twoCellAnchor>
    <xdr:from>
      <xdr:col>2</xdr:col>
      <xdr:colOff>0</xdr:colOff>
      <xdr:row>102</xdr:row>
      <xdr:rowOff>19050</xdr:rowOff>
    </xdr:from>
    <xdr:to>
      <xdr:col>8</xdr:col>
      <xdr:colOff>1038225</xdr:colOff>
      <xdr:row>105</xdr:row>
      <xdr:rowOff>85725</xdr:rowOff>
    </xdr:to>
    <xdr:sp>
      <xdr:nvSpPr>
        <xdr:cNvPr id="20" name="Text Box 53"/>
        <xdr:cNvSpPr txBox="1">
          <a:spLocks noChangeArrowheads="1"/>
        </xdr:cNvSpPr>
      </xdr:nvSpPr>
      <xdr:spPr>
        <a:xfrm>
          <a:off x="466725" y="16706850"/>
          <a:ext cx="6010275" cy="55245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a:t>
          </a:r>
        </a:p>
      </xdr:txBody>
    </xdr:sp>
    <xdr:clientData/>
  </xdr:twoCellAnchor>
  <xdr:twoCellAnchor>
    <xdr:from>
      <xdr:col>2</xdr:col>
      <xdr:colOff>238125</xdr:colOff>
      <xdr:row>110</xdr:row>
      <xdr:rowOff>9525</xdr:rowOff>
    </xdr:from>
    <xdr:to>
      <xdr:col>9</xdr:col>
      <xdr:colOff>0</xdr:colOff>
      <xdr:row>116</xdr:row>
      <xdr:rowOff>76200</xdr:rowOff>
    </xdr:to>
    <xdr:sp>
      <xdr:nvSpPr>
        <xdr:cNvPr id="21" name="Text Box 55"/>
        <xdr:cNvSpPr txBox="1">
          <a:spLocks noChangeArrowheads="1"/>
        </xdr:cNvSpPr>
      </xdr:nvSpPr>
      <xdr:spPr>
        <a:xfrm>
          <a:off x="704850" y="17992725"/>
          <a:ext cx="5781675" cy="1038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125 ordinary shares of Hong Kong Dollar ("HK$") 1.00 each in Unilink Development Limited ("Unilink") ("Unilink Shares") representing 12.5% equity interest in Unilink for a purchase consideration of Renminbi ("RMB") 15,000,000 (equivalent to approximately RM6,912,442 at a foreign exchange rate of RM1.00:RMB2.17) to be satisfied by the issuance of 23,041,474 new ordinary shares of RM0.10 each in MGB ("MGB Shares") at an issue price of RM0.30 per MGB Share ("Proposed Acquisition of Unilink")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117</xdr:row>
      <xdr:rowOff>9525</xdr:rowOff>
    </xdr:from>
    <xdr:to>
      <xdr:col>9</xdr:col>
      <xdr:colOff>0</xdr:colOff>
      <xdr:row>122</xdr:row>
      <xdr:rowOff>66675</xdr:rowOff>
    </xdr:to>
    <xdr:sp>
      <xdr:nvSpPr>
        <xdr:cNvPr id="22" name="Text Box 56"/>
        <xdr:cNvSpPr txBox="1">
          <a:spLocks noChangeArrowheads="1"/>
        </xdr:cNvSpPr>
      </xdr:nvSpPr>
      <xdr:spPr>
        <a:xfrm>
          <a:off x="704850" y="19126200"/>
          <a:ext cx="5781675" cy="866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acquisition of 10,000 ordinary shares of HK$1.00 each in HK Broadway Electronics Company Limited ("HK Broadway") ("HK Broadway Shares") representing 100% equity interest in HK Broadway for a purchase consideration of RMB15,000,000 (equivalent to approximately RM6,912,442 at a foreign exchange rate of RM1.00:RMB2.17) to be satisfied by the issuance of 23,041,474 new MGB Shares at an issue price of RM0.30 per MGB Share ("Proposed Acquisition of HK Broadway).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123</xdr:row>
      <xdr:rowOff>9525</xdr:rowOff>
    </xdr:from>
    <xdr:to>
      <xdr:col>9</xdr:col>
      <xdr:colOff>0</xdr:colOff>
      <xdr:row>128</xdr:row>
      <xdr:rowOff>381000</xdr:rowOff>
    </xdr:to>
    <xdr:sp>
      <xdr:nvSpPr>
        <xdr:cNvPr id="23" name="Text Box 57"/>
        <xdr:cNvSpPr txBox="1">
          <a:spLocks noChangeArrowheads="1"/>
        </xdr:cNvSpPr>
      </xdr:nvSpPr>
      <xdr:spPr>
        <a:xfrm>
          <a:off x="704850" y="20097750"/>
          <a:ext cx="5781675" cy="1181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call option arrangement between MGB and Zonemax whereby Zonemax has granted MGB a call option to acquire 563 Unilink Shares representing approximately 56.25% equity interest in Unilink for a purchase consideration of RMB67,500,000 (“Call Option”) which shall be satisfied by the issuance of up to 103,686,636 new MGB Shares at an issue price of RM0.30 and/or cash payment to be mutually agreed upon by Zonemax and MGB or, if the Proposed Bonus Issue (as defined hereinafter) is implemented, 182,976,416 new MGB Shares at an issue price of RM0.17 per MGB Share and/or cash payment to be mutually agreed by Zonemax and MGB (“Proposed Call Option”)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129</xdr:row>
      <xdr:rowOff>9525</xdr:rowOff>
    </xdr:from>
    <xdr:to>
      <xdr:col>9</xdr:col>
      <xdr:colOff>0</xdr:colOff>
      <xdr:row>133</xdr:row>
      <xdr:rowOff>104775</xdr:rowOff>
    </xdr:to>
    <xdr:sp>
      <xdr:nvSpPr>
        <xdr:cNvPr id="24" name="Text Box 58"/>
        <xdr:cNvSpPr txBox="1">
          <a:spLocks noChangeArrowheads="1"/>
        </xdr:cNvSpPr>
      </xdr:nvSpPr>
      <xdr:spPr>
        <a:xfrm>
          <a:off x="704850" y="21421725"/>
          <a:ext cx="5781675" cy="742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private placement of up to 42,531,000 new MGB Shares ("Placement Shares")   representing fifteen percent (15%) of the existing issued and paid-up share capital of MGB at an issue price to be determined based on a discount of not more than ten percent (10%) on the five (5) day volume weighted average market price of Company's Shares ("VWAMP") ("Proposed Private Placement").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134</xdr:row>
      <xdr:rowOff>9525</xdr:rowOff>
    </xdr:from>
    <xdr:to>
      <xdr:col>9</xdr:col>
      <xdr:colOff>0</xdr:colOff>
      <xdr:row>137</xdr:row>
      <xdr:rowOff>114300</xdr:rowOff>
    </xdr:to>
    <xdr:sp>
      <xdr:nvSpPr>
        <xdr:cNvPr id="25" name="Text Box 59"/>
        <xdr:cNvSpPr txBox="1">
          <a:spLocks noChangeArrowheads="1"/>
        </xdr:cNvSpPr>
      </xdr:nvSpPr>
      <xdr:spPr>
        <a:xfrm>
          <a:off x="704850" y="22231350"/>
          <a:ext cx="5781675" cy="590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bonus issue of up to 318,989,098 new Company's Shares ("Bonus Shares") to be credited as fully paid-up on the basis of six (6) Bonus Shares for every seven (7) MGB Shares held ("Proposed Bonus Issue").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138</xdr:row>
      <xdr:rowOff>9525</xdr:rowOff>
    </xdr:from>
    <xdr:to>
      <xdr:col>9</xdr:col>
      <xdr:colOff>0</xdr:colOff>
      <xdr:row>140</xdr:row>
      <xdr:rowOff>133350</xdr:rowOff>
    </xdr:to>
    <xdr:sp>
      <xdr:nvSpPr>
        <xdr:cNvPr id="26" name="Text Box 60"/>
        <xdr:cNvSpPr txBox="1">
          <a:spLocks noChangeArrowheads="1"/>
        </xdr:cNvSpPr>
      </xdr:nvSpPr>
      <xdr:spPr>
        <a:xfrm>
          <a:off x="704850" y="22879050"/>
          <a:ext cx="5781675"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increase in the authorised share capital of MGB from RM50,000,000 comprising 500,000,000 MGB Shares to RM100,000,000 comprising 1,000,000,000 Company's Shares ("Proposed IASC")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141</xdr:row>
      <xdr:rowOff>9525</xdr:rowOff>
    </xdr:from>
    <xdr:to>
      <xdr:col>9</xdr:col>
      <xdr:colOff>0</xdr:colOff>
      <xdr:row>143</xdr:row>
      <xdr:rowOff>133350</xdr:rowOff>
    </xdr:to>
    <xdr:sp>
      <xdr:nvSpPr>
        <xdr:cNvPr id="27" name="Text Box 61"/>
        <xdr:cNvSpPr txBox="1">
          <a:spLocks noChangeArrowheads="1"/>
        </xdr:cNvSpPr>
      </xdr:nvSpPr>
      <xdr:spPr>
        <a:xfrm>
          <a:off x="704850" y="23364825"/>
          <a:ext cx="5781675"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amendments to the Memorandum and Articles of Association ("M&amp;A") of Company's ("Proposed M&amp;A Amendments")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238125</xdr:colOff>
      <xdr:row>144</xdr:row>
      <xdr:rowOff>9525</xdr:rowOff>
    </xdr:from>
    <xdr:to>
      <xdr:col>9</xdr:col>
      <xdr:colOff>0</xdr:colOff>
      <xdr:row>147</xdr:row>
      <xdr:rowOff>133350</xdr:rowOff>
    </xdr:to>
    <xdr:sp>
      <xdr:nvSpPr>
        <xdr:cNvPr id="28" name="Text Box 62"/>
        <xdr:cNvSpPr txBox="1">
          <a:spLocks noChangeArrowheads="1"/>
        </xdr:cNvSpPr>
      </xdr:nvSpPr>
      <xdr:spPr>
        <a:xfrm>
          <a:off x="704850" y="23850600"/>
          <a:ext cx="5781675" cy="609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Proposed transfer of the listing of and quotation for the entire issued and paid-up share capital of the Company from the MESDAQ Market to the Main Board of Bursa Malaysia Securities Berhad ("Bursa Securities") ("Proposed Transfer").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154</xdr:row>
      <xdr:rowOff>0</xdr:rowOff>
    </xdr:from>
    <xdr:to>
      <xdr:col>9</xdr:col>
      <xdr:colOff>0</xdr:colOff>
      <xdr:row>164</xdr:row>
      <xdr:rowOff>114300</xdr:rowOff>
    </xdr:to>
    <xdr:sp>
      <xdr:nvSpPr>
        <xdr:cNvPr id="29" name="Text Box 63"/>
        <xdr:cNvSpPr txBox="1">
          <a:spLocks noChangeArrowheads="1"/>
        </xdr:cNvSpPr>
      </xdr:nvSpPr>
      <xdr:spPr>
        <a:xfrm>
          <a:off x="476250" y="25460325"/>
          <a:ext cx="6010275" cy="1733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6 November 2006, the Company, via its advisor further announced that the Securities Commission ("SC") (Securities Issues Department and Equity Compliance Unit), had, vide its letter dated 3 November 2006, approved the above Proposals, subject to the conditions as stated in the said announcement. On 24 January 2007, the Company's advisor further announced that SC had vide its letter dated 19 January 2007 approved a revision to certain terms and conditions of the above proposals.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26 February 2007, the Company's advisor further announced that Bank Negara Malaysia (“BNM”) had, vide its letter dated 14 February 2007 approved the investment abroad to be made by MGB for the Proposed Acquisition of Unilink and the Proposed Call Option subject to certain conditions.  The Proposed Acquisition of HK Broadway has been registered with BNM.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209550</xdr:colOff>
      <xdr:row>247</xdr:row>
      <xdr:rowOff>38100</xdr:rowOff>
    </xdr:from>
    <xdr:to>
      <xdr:col>8</xdr:col>
      <xdr:colOff>1038225</xdr:colOff>
      <xdr:row>248</xdr:row>
      <xdr:rowOff>152400</xdr:rowOff>
    </xdr:to>
    <xdr:sp>
      <xdr:nvSpPr>
        <xdr:cNvPr id="30" name="Text Box 64"/>
        <xdr:cNvSpPr txBox="1">
          <a:spLocks noChangeArrowheads="1"/>
        </xdr:cNvSpPr>
      </xdr:nvSpPr>
      <xdr:spPr>
        <a:xfrm>
          <a:off x="209550" y="40557450"/>
          <a:ext cx="62674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total borrowings, all of which were secured, as at 31 December 2007 were as follows:-
</a:t>
          </a:r>
        </a:p>
      </xdr:txBody>
    </xdr:sp>
    <xdr:clientData/>
  </xdr:twoCellAnchor>
  <xdr:twoCellAnchor>
    <xdr:from>
      <xdr:col>2</xdr:col>
      <xdr:colOff>19050</xdr:colOff>
      <xdr:row>343</xdr:row>
      <xdr:rowOff>0</xdr:rowOff>
    </xdr:from>
    <xdr:to>
      <xdr:col>8</xdr:col>
      <xdr:colOff>1028700</xdr:colOff>
      <xdr:row>343</xdr:row>
      <xdr:rowOff>0</xdr:rowOff>
    </xdr:to>
    <xdr:sp>
      <xdr:nvSpPr>
        <xdr:cNvPr id="31" name="Text Box 65"/>
        <xdr:cNvSpPr txBox="1">
          <a:spLocks noChangeArrowheads="1"/>
        </xdr:cNvSpPr>
      </xdr:nvSpPr>
      <xdr:spPr>
        <a:xfrm>
          <a:off x="485775" y="56092725"/>
          <a:ext cx="598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290</xdr:row>
      <xdr:rowOff>9525</xdr:rowOff>
    </xdr:from>
    <xdr:to>
      <xdr:col>9</xdr:col>
      <xdr:colOff>0</xdr:colOff>
      <xdr:row>300</xdr:row>
      <xdr:rowOff>85725</xdr:rowOff>
    </xdr:to>
    <xdr:sp>
      <xdr:nvSpPr>
        <xdr:cNvPr id="32" name="Text Box 66"/>
        <xdr:cNvSpPr txBox="1">
          <a:spLocks noChangeArrowheads="1"/>
        </xdr:cNvSpPr>
      </xdr:nvSpPr>
      <xdr:spPr>
        <a:xfrm>
          <a:off x="485775" y="47501175"/>
          <a:ext cx="6000750" cy="1714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15 May 2006, MESB’s solicitors were served with the Plaintiffs’ application for abridgement of time to file a claim in respect of Dependency Claim against MESB. Two (2) affidavits in opposition of the Plaintiffs’ application affirmed on 31 May 2006 and 30 June 2006 have been duly filed on 1 June 2006 and 5 July 2006 respectively at the Ipoh High Court. The Registrar had on 8 September 2006 ruled in favour of the Plaintiffs’ application for extension of time and the cost arisen therefrom will be borne by the Plaintiffs. A notice of appeal to the Judge against the decision of the Registrar dated 13 September 2006 (“Appeal”) had been filed at the High Court. The High Court has asked all parties to file in written submission in respect of the Appeal to the Judge in chambers in respect of the Registrar’s decision to enlarge time for the Plaintiff to file the Writ of Summons. On 15 August 2007, the Court has given a postponement to the decision to be made on the Appeal by MESB as to granting extension of time to the Dependency Claim.</a:t>
          </a:r>
        </a:p>
      </xdr:txBody>
    </xdr:sp>
    <xdr:clientData/>
  </xdr:twoCellAnchor>
  <xdr:twoCellAnchor>
    <xdr:from>
      <xdr:col>2</xdr:col>
      <xdr:colOff>247650</xdr:colOff>
      <xdr:row>134</xdr:row>
      <xdr:rowOff>0</xdr:rowOff>
    </xdr:from>
    <xdr:to>
      <xdr:col>8</xdr:col>
      <xdr:colOff>990600</xdr:colOff>
      <xdr:row>134</xdr:row>
      <xdr:rowOff>0</xdr:rowOff>
    </xdr:to>
    <xdr:sp>
      <xdr:nvSpPr>
        <xdr:cNvPr id="33" name="Text Box 67"/>
        <xdr:cNvSpPr txBox="1">
          <a:spLocks noChangeArrowheads="1"/>
        </xdr:cNvSpPr>
      </xdr:nvSpPr>
      <xdr:spPr>
        <a:xfrm>
          <a:off x="714375" y="22221825"/>
          <a:ext cx="57150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343</xdr:row>
      <xdr:rowOff>0</xdr:rowOff>
    </xdr:from>
    <xdr:to>
      <xdr:col>9</xdr:col>
      <xdr:colOff>0</xdr:colOff>
      <xdr:row>343</xdr:row>
      <xdr:rowOff>0</xdr:rowOff>
    </xdr:to>
    <xdr:sp>
      <xdr:nvSpPr>
        <xdr:cNvPr id="34" name="Text Box 71"/>
        <xdr:cNvSpPr txBox="1">
          <a:spLocks noChangeArrowheads="1"/>
        </xdr:cNvSpPr>
      </xdr:nvSpPr>
      <xdr:spPr>
        <a:xfrm>
          <a:off x="485775" y="56092725"/>
          <a:ext cx="60007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209550</xdr:colOff>
      <xdr:row>245</xdr:row>
      <xdr:rowOff>0</xdr:rowOff>
    </xdr:from>
    <xdr:to>
      <xdr:col>9</xdr:col>
      <xdr:colOff>0</xdr:colOff>
      <xdr:row>245</xdr:row>
      <xdr:rowOff>0</xdr:rowOff>
    </xdr:to>
    <xdr:sp>
      <xdr:nvSpPr>
        <xdr:cNvPr id="35" name="Text Box 77"/>
        <xdr:cNvSpPr txBox="1">
          <a:spLocks noChangeArrowheads="1"/>
        </xdr:cNvSpPr>
      </xdr:nvSpPr>
      <xdr:spPr>
        <a:xfrm>
          <a:off x="209550" y="40195500"/>
          <a:ext cx="6276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Due to changes in some of the R&amp;D projects of the Company and its subsidiaries, the Company was not able to fully utilise the proceeds earmarked for R&amp;D expenditure within three years from the date of listing on 24 May 2004. As such, an application was submitted to the SC on 14 May 2007 for an extension of the timeframe for the utilisation of the said balance proceeds of RM608,144 by an additional six months to 24 November 2007. The SC had, via its letter dated 15 June 2007, granted its approval for the Company's application. As at the date of this announcement, the said balance proceeds have been fully utilised.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28</xdr:row>
      <xdr:rowOff>9525</xdr:rowOff>
    </xdr:from>
    <xdr:to>
      <xdr:col>8</xdr:col>
      <xdr:colOff>1038225</xdr:colOff>
      <xdr:row>30</xdr:row>
      <xdr:rowOff>66675</xdr:rowOff>
    </xdr:to>
    <xdr:sp>
      <xdr:nvSpPr>
        <xdr:cNvPr id="36" name="Text Box 80"/>
        <xdr:cNvSpPr txBox="1">
          <a:spLocks noChangeArrowheads="1"/>
        </xdr:cNvSpPr>
      </xdr:nvSpPr>
      <xdr:spPr>
        <a:xfrm>
          <a:off x="219075" y="4543425"/>
          <a:ext cx="6257925" cy="40005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Material changes in profit before taxation for the current quarter as compared with the preceding quarter</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165</xdr:row>
      <xdr:rowOff>19050</xdr:rowOff>
    </xdr:from>
    <xdr:to>
      <xdr:col>9</xdr:col>
      <xdr:colOff>0</xdr:colOff>
      <xdr:row>167</xdr:row>
      <xdr:rowOff>76200</xdr:rowOff>
    </xdr:to>
    <xdr:sp>
      <xdr:nvSpPr>
        <xdr:cNvPr id="37" name="Text Box 81"/>
        <xdr:cNvSpPr txBox="1">
          <a:spLocks noChangeArrowheads="1"/>
        </xdr:cNvSpPr>
      </xdr:nvSpPr>
      <xdr:spPr>
        <a:xfrm>
          <a:off x="466725" y="27260550"/>
          <a:ext cx="6019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the above proposals have been approved by the shareholders of MGB at the Extraordinary General Meeting held on 23 April 2007.</a:t>
          </a:r>
        </a:p>
      </xdr:txBody>
    </xdr:sp>
    <xdr:clientData/>
  </xdr:twoCellAnchor>
  <xdr:twoCellAnchor>
    <xdr:from>
      <xdr:col>2</xdr:col>
      <xdr:colOff>19050</xdr:colOff>
      <xdr:row>300</xdr:row>
      <xdr:rowOff>123825</xdr:rowOff>
    </xdr:from>
    <xdr:to>
      <xdr:col>9</xdr:col>
      <xdr:colOff>0</xdr:colOff>
      <xdr:row>306</xdr:row>
      <xdr:rowOff>76200</xdr:rowOff>
    </xdr:to>
    <xdr:sp>
      <xdr:nvSpPr>
        <xdr:cNvPr id="38" name="Text Box 82"/>
        <xdr:cNvSpPr txBox="1">
          <a:spLocks noChangeArrowheads="1"/>
        </xdr:cNvSpPr>
      </xdr:nvSpPr>
      <xdr:spPr>
        <a:xfrm>
          <a:off x="485775" y="49253775"/>
          <a:ext cx="6000750" cy="923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application for striking out the Dependency Claim has been held in abeyance pending the outcome of the Appeal. </a:t>
          </a:r>
        </a:p>
      </xdr:txBody>
    </xdr:sp>
    <xdr:clientData/>
  </xdr:twoCellAnchor>
  <xdr:twoCellAnchor>
    <xdr:from>
      <xdr:col>2</xdr:col>
      <xdr:colOff>28575</xdr:colOff>
      <xdr:row>307</xdr:row>
      <xdr:rowOff>9525</xdr:rowOff>
    </xdr:from>
    <xdr:to>
      <xdr:col>9</xdr:col>
      <xdr:colOff>0</xdr:colOff>
      <xdr:row>318</xdr:row>
      <xdr:rowOff>114300</xdr:rowOff>
    </xdr:to>
    <xdr:sp>
      <xdr:nvSpPr>
        <xdr:cNvPr id="39" name="Text Box 83"/>
        <xdr:cNvSpPr txBox="1">
          <a:spLocks noChangeArrowheads="1"/>
        </xdr:cNvSpPr>
      </xdr:nvSpPr>
      <xdr:spPr>
        <a:xfrm>
          <a:off x="495300" y="50272950"/>
          <a:ext cx="5991225" cy="1885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This may be a difficult task for the Plaintiffs as the Plaintiffs do not have personal knowledge of the incident at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a:t>
          </a:r>
        </a:p>
      </xdr:txBody>
    </xdr:sp>
    <xdr:clientData/>
  </xdr:twoCellAnchor>
  <xdr:twoCellAnchor>
    <xdr:from>
      <xdr:col>2</xdr:col>
      <xdr:colOff>19050</xdr:colOff>
      <xdr:row>321</xdr:row>
      <xdr:rowOff>0</xdr:rowOff>
    </xdr:from>
    <xdr:to>
      <xdr:col>9</xdr:col>
      <xdr:colOff>0</xdr:colOff>
      <xdr:row>328</xdr:row>
      <xdr:rowOff>76200</xdr:rowOff>
    </xdr:to>
    <xdr:sp>
      <xdr:nvSpPr>
        <xdr:cNvPr id="40" name="Text Box 85"/>
        <xdr:cNvSpPr txBox="1">
          <a:spLocks noChangeArrowheads="1"/>
        </xdr:cNvSpPr>
      </xdr:nvSpPr>
      <xdr:spPr>
        <a:xfrm>
          <a:off x="485775" y="52530375"/>
          <a:ext cx="6000750" cy="1209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the People's Republic of China ("PRC").  The maximum exposure to MGB is estimated at RM1,751,617.27. </a:t>
          </a:r>
        </a:p>
      </xdr:txBody>
    </xdr:sp>
    <xdr:clientData/>
  </xdr:twoCellAnchor>
  <xdr:twoCellAnchor>
    <xdr:from>
      <xdr:col>2</xdr:col>
      <xdr:colOff>19050</xdr:colOff>
      <xdr:row>329</xdr:row>
      <xdr:rowOff>0</xdr:rowOff>
    </xdr:from>
    <xdr:to>
      <xdr:col>9</xdr:col>
      <xdr:colOff>0</xdr:colOff>
      <xdr:row>341</xdr:row>
      <xdr:rowOff>57150</xdr:rowOff>
    </xdr:to>
    <xdr:sp>
      <xdr:nvSpPr>
        <xdr:cNvPr id="41" name="Text Box 86"/>
        <xdr:cNvSpPr txBox="1">
          <a:spLocks noChangeArrowheads="1"/>
        </xdr:cNvSpPr>
      </xdr:nvSpPr>
      <xdr:spPr>
        <a:xfrm>
          <a:off x="485775" y="53825775"/>
          <a:ext cx="6000750" cy="2000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via a letter dated 5 December 2006 demanded the fulfillment of CWorks' contractual obligation. However, the letter remained unanswered. On 27 August 2007, the Plaintiff's solicitors filed a further written submission on the issue that it does not matter whether MGB's representative in the PRC, Mr. Li Ji Chang knew English language or otherwise, but he signed the acceptance of completion of the project and the said argument by CWorks is on a point of law.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Meanwhile, on 9 March 2007, the Plaintiff filed an application for summary judgment.  The Company’s solicitors are of the opinion that the said application is contrary to law and had taken objection towards the said application. The Company’s solicitors had sought for the said application not to be heard till the Conditional Appearance is determined and disposed off.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134</xdr:row>
      <xdr:rowOff>0</xdr:rowOff>
    </xdr:from>
    <xdr:to>
      <xdr:col>8</xdr:col>
      <xdr:colOff>1028700</xdr:colOff>
      <xdr:row>134</xdr:row>
      <xdr:rowOff>0</xdr:rowOff>
    </xdr:to>
    <xdr:sp>
      <xdr:nvSpPr>
        <xdr:cNvPr id="42" name="Text Box 87"/>
        <xdr:cNvSpPr txBox="1">
          <a:spLocks noChangeArrowheads="1"/>
        </xdr:cNvSpPr>
      </xdr:nvSpPr>
      <xdr:spPr>
        <a:xfrm>
          <a:off x="714375" y="22221825"/>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0</xdr:colOff>
      <xdr:row>168</xdr:row>
      <xdr:rowOff>19050</xdr:rowOff>
    </xdr:from>
    <xdr:to>
      <xdr:col>9</xdr:col>
      <xdr:colOff>0</xdr:colOff>
      <xdr:row>174</xdr:row>
      <xdr:rowOff>85725</xdr:rowOff>
    </xdr:to>
    <xdr:sp>
      <xdr:nvSpPr>
        <xdr:cNvPr id="43" name="Text Box 89"/>
        <xdr:cNvSpPr txBox="1">
          <a:spLocks noChangeArrowheads="1"/>
        </xdr:cNvSpPr>
      </xdr:nvSpPr>
      <xdr:spPr>
        <a:xfrm>
          <a:off x="466725" y="27746325"/>
          <a:ext cx="6019800" cy="1038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7 May 2007, the Company, via HWANGDBS announced that Bursa Malaysia Securities Berhad had, vide its letters dated 4 May 2007 granted its approval for the listing and quotation of new MGB shares to be issued pursuant to the Proposed Bonus Issue, Proposed Private Placement, Proposed Acquisitions and Proposed Call Option; and transfer of the Company's entire enlarged issued and paid-up share capital from the MESDAQ Market to the Main Board of Bursa Securities, under the "Technology" sector on a "Ready" basis pursuant to the Rules of Bursa Securities;</a:t>
          </a:r>
        </a:p>
      </xdr:txBody>
    </xdr:sp>
    <xdr:clientData/>
  </xdr:twoCellAnchor>
  <xdr:twoCellAnchor>
    <xdr:from>
      <xdr:col>2</xdr:col>
      <xdr:colOff>0</xdr:colOff>
      <xdr:row>175</xdr:row>
      <xdr:rowOff>19050</xdr:rowOff>
    </xdr:from>
    <xdr:to>
      <xdr:col>9</xdr:col>
      <xdr:colOff>0</xdr:colOff>
      <xdr:row>185</xdr:row>
      <xdr:rowOff>95250</xdr:rowOff>
    </xdr:to>
    <xdr:sp>
      <xdr:nvSpPr>
        <xdr:cNvPr id="44" name="Text Box 92"/>
        <xdr:cNvSpPr txBox="1">
          <a:spLocks noChangeArrowheads="1"/>
        </xdr:cNvSpPr>
      </xdr:nvSpPr>
      <xdr:spPr>
        <a:xfrm>
          <a:off x="466725" y="28879800"/>
          <a:ext cx="6019800" cy="1695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The SC had, vide its letter dated 15 June 2007, granted its approval for the Proposed Variation to Conditionality. The Proposed Variation to Call Option and Proposed Variation to Conditionality have been approved by the shareholders at the Extraordinary General Meeting held on 27 June 2007.</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219075</xdr:colOff>
      <xdr:row>186</xdr:row>
      <xdr:rowOff>0</xdr:rowOff>
    </xdr:from>
    <xdr:to>
      <xdr:col>8</xdr:col>
      <xdr:colOff>1019175</xdr:colOff>
      <xdr:row>186</xdr:row>
      <xdr:rowOff>0</xdr:rowOff>
    </xdr:to>
    <xdr:sp>
      <xdr:nvSpPr>
        <xdr:cNvPr id="45" name="Text Box 93"/>
        <xdr:cNvSpPr txBox="1">
          <a:spLocks noChangeArrowheads="1"/>
        </xdr:cNvSpPr>
      </xdr:nvSpPr>
      <xdr:spPr>
        <a:xfrm>
          <a:off x="685800" y="30641925"/>
          <a:ext cx="577215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204</xdr:row>
      <xdr:rowOff>0</xdr:rowOff>
    </xdr:from>
    <xdr:to>
      <xdr:col>8</xdr:col>
      <xdr:colOff>1038225</xdr:colOff>
      <xdr:row>207</xdr:row>
      <xdr:rowOff>123825</xdr:rowOff>
    </xdr:to>
    <xdr:sp>
      <xdr:nvSpPr>
        <xdr:cNvPr id="46" name="Text Box 97"/>
        <xdr:cNvSpPr txBox="1">
          <a:spLocks noChangeArrowheads="1"/>
        </xdr:cNvSpPr>
      </xdr:nvSpPr>
      <xdr:spPr>
        <a:xfrm>
          <a:off x="485775" y="33556575"/>
          <a:ext cx="5991225" cy="609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MGB's entire issued and paid-up share capital of RM63,490,690.30 comprising 634,906,903 ordinary shares of RM0.10 each were transferred from the MESDAQ Market to the Main Board of Bursa Securities under the "Technology" sector on a "Ready" basis pursuant to the Rules of Bursa Securities on 12 July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208</xdr:row>
      <xdr:rowOff>19050</xdr:rowOff>
    </xdr:from>
    <xdr:to>
      <xdr:col>8</xdr:col>
      <xdr:colOff>1028700</xdr:colOff>
      <xdr:row>221</xdr:row>
      <xdr:rowOff>47625</xdr:rowOff>
    </xdr:to>
    <xdr:sp>
      <xdr:nvSpPr>
        <xdr:cNvPr id="47" name="Text Box 99"/>
        <xdr:cNvSpPr txBox="1">
          <a:spLocks noChangeArrowheads="1"/>
        </xdr:cNvSpPr>
      </xdr:nvSpPr>
      <xdr:spPr>
        <a:xfrm>
          <a:off x="495300" y="34223325"/>
          <a:ext cx="5972175" cy="2133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10 August 2007, HWANGDBS announced that with the exception of the Private Placement, the abovementioned corporate exercises were completed with the transfer of the listing and quotation for the ordinary shares of RM0.10 each in MGB from the MESDAQ market to Main Board of Bursa Securities on 12 July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MGB had on 15 August 2007 submitted an application to the SC to seek a waiver in respect of the placement of second (2nd) tranche of 7,500,000 ordinary shares of RM0.10 each to be issued pursuant to the Private Placement to bumiputra placee(s) ("Placement Shares") as the identified bumiputra placee has informed the Company that he does not wish to subscribe for the Placement Shares. However, the SC had, vide its letter dated 14 September 2007, informed MGB that it is not able to consider the Company's application for a waiver from having to place out the Placement Shares to  bumiputera placees. The SC has granted an extension of time of one year until 17 August 2008 for MGB to comply with the bumiputera equity condition.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222</xdr:row>
      <xdr:rowOff>0</xdr:rowOff>
    </xdr:from>
    <xdr:to>
      <xdr:col>8</xdr:col>
      <xdr:colOff>1019175</xdr:colOff>
      <xdr:row>223</xdr:row>
      <xdr:rowOff>85725</xdr:rowOff>
    </xdr:to>
    <xdr:sp>
      <xdr:nvSpPr>
        <xdr:cNvPr id="48" name="Text Box 101"/>
        <xdr:cNvSpPr txBox="1">
          <a:spLocks noChangeArrowheads="1"/>
        </xdr:cNvSpPr>
      </xdr:nvSpPr>
      <xdr:spPr>
        <a:xfrm>
          <a:off x="476250" y="36471225"/>
          <a:ext cx="5981700" cy="24765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Shares Sale Agreement with Goldis Berhad</a:t>
          </a:r>
        </a:p>
      </xdr:txBody>
    </xdr:sp>
    <xdr:clientData/>
  </xdr:twoCellAnchor>
  <xdr:twoCellAnchor>
    <xdr:from>
      <xdr:col>0</xdr:col>
      <xdr:colOff>28575</xdr:colOff>
      <xdr:row>3</xdr:row>
      <xdr:rowOff>0</xdr:rowOff>
    </xdr:from>
    <xdr:to>
      <xdr:col>8</xdr:col>
      <xdr:colOff>1028700</xdr:colOff>
      <xdr:row>5</xdr:row>
      <xdr:rowOff>57150</xdr:rowOff>
    </xdr:to>
    <xdr:sp>
      <xdr:nvSpPr>
        <xdr:cNvPr id="49" name="Text Box 107"/>
        <xdr:cNvSpPr txBox="1">
          <a:spLocks noChangeArrowheads="1"/>
        </xdr:cNvSpPr>
      </xdr:nvSpPr>
      <xdr:spPr>
        <a:xfrm>
          <a:off x="28575" y="485775"/>
          <a:ext cx="6438900" cy="381000"/>
        </a:xfrm>
        <a:prstGeom prst="rect">
          <a:avLst/>
        </a:prstGeom>
        <a:solidFill>
          <a:srgbClr val="FFFFFF"/>
        </a:solidFill>
        <a:ln w="9525" cmpd="sng">
          <a:noFill/>
        </a:ln>
      </xdr:spPr>
      <xdr:txBody>
        <a:bodyPr vertOverflow="clip" wrap="square" lIns="27432" tIns="22860" rIns="0" bIns="0"/>
        <a:p>
          <a:pPr algn="just">
            <a:defRPr/>
          </a:pPr>
          <a:r>
            <a:rPr lang="en-US" cap="none" sz="1000" b="1" i="0" u="none" baseline="0">
              <a:solidFill>
                <a:srgbClr val="000000"/>
              </a:solidFill>
              <a:latin typeface="Arial"/>
              <a:ea typeface="Arial"/>
              <a:cs typeface="Arial"/>
            </a:rPr>
            <a:t>ADDITIONAL INFORMATION PURSUANT TO THE LISTING REQUIREMENTS OF BURSA MALAYSIA SECURITIES BERHAD</a:t>
          </a:r>
        </a:p>
      </xdr:txBody>
    </xdr:sp>
    <xdr:clientData/>
  </xdr:twoCellAnchor>
  <xdr:twoCellAnchor>
    <xdr:from>
      <xdr:col>2</xdr:col>
      <xdr:colOff>9525</xdr:colOff>
      <xdr:row>186</xdr:row>
      <xdr:rowOff>0</xdr:rowOff>
    </xdr:from>
    <xdr:to>
      <xdr:col>8</xdr:col>
      <xdr:colOff>1038225</xdr:colOff>
      <xdr:row>189</xdr:row>
      <xdr:rowOff>85725</xdr:rowOff>
    </xdr:to>
    <xdr:sp>
      <xdr:nvSpPr>
        <xdr:cNvPr id="50" name="Text Box 108"/>
        <xdr:cNvSpPr txBox="1">
          <a:spLocks noChangeArrowheads="1"/>
        </xdr:cNvSpPr>
      </xdr:nvSpPr>
      <xdr:spPr>
        <a:xfrm>
          <a:off x="476250" y="30641925"/>
          <a:ext cx="6000750"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MGB's additional 12,250,000 new ordinary shares of RM0.10 each issued at RM0.42 per share, being a portion or first (1st) tranche of the Private Placement were granted listing and quotation with effect from 29 June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190</xdr:row>
      <xdr:rowOff>9525</xdr:rowOff>
    </xdr:from>
    <xdr:to>
      <xdr:col>8</xdr:col>
      <xdr:colOff>1038225</xdr:colOff>
      <xdr:row>193</xdr:row>
      <xdr:rowOff>57150</xdr:rowOff>
    </xdr:to>
    <xdr:sp>
      <xdr:nvSpPr>
        <xdr:cNvPr id="51" name="Text Box 109"/>
        <xdr:cNvSpPr txBox="1">
          <a:spLocks noChangeArrowheads="1"/>
        </xdr:cNvSpPr>
      </xdr:nvSpPr>
      <xdr:spPr>
        <a:xfrm>
          <a:off x="476250" y="31299150"/>
          <a:ext cx="60007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MGB's additional 46,082,948 new ordinary shares of RM0.10 each issued at RM0.30 pursuant to the acquisition of HK Broadway and Unilink ("Acquisitions") were granted listing and quotation with effect from 12 July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194</xdr:row>
      <xdr:rowOff>9525</xdr:rowOff>
    </xdr:from>
    <xdr:to>
      <xdr:col>8</xdr:col>
      <xdr:colOff>1038225</xdr:colOff>
      <xdr:row>196</xdr:row>
      <xdr:rowOff>85725</xdr:rowOff>
    </xdr:to>
    <xdr:sp>
      <xdr:nvSpPr>
        <xdr:cNvPr id="52" name="Text Box 110"/>
        <xdr:cNvSpPr txBox="1">
          <a:spLocks noChangeArrowheads="1"/>
        </xdr:cNvSpPr>
      </xdr:nvSpPr>
      <xdr:spPr>
        <a:xfrm>
          <a:off x="485775" y="31946850"/>
          <a:ext cx="5991225" cy="400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MGB's additional 293,033,955 new ordinary shares of RM0.10 each issued pursuant to the Bonus Issue were granted listing and quotation with effect from 12 July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241</xdr:row>
      <xdr:rowOff>0</xdr:rowOff>
    </xdr:from>
    <xdr:to>
      <xdr:col>8</xdr:col>
      <xdr:colOff>1028700</xdr:colOff>
      <xdr:row>241</xdr:row>
      <xdr:rowOff>0</xdr:rowOff>
    </xdr:to>
    <xdr:sp>
      <xdr:nvSpPr>
        <xdr:cNvPr id="53" name="Text Box 101"/>
        <xdr:cNvSpPr txBox="1">
          <a:spLocks noChangeArrowheads="1"/>
        </xdr:cNvSpPr>
      </xdr:nvSpPr>
      <xdr:spPr>
        <a:xfrm>
          <a:off x="714375" y="39547800"/>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Restructuring of Unilink Development Limited (cont'd)</a:t>
          </a:r>
        </a:p>
      </xdr:txBody>
    </xdr:sp>
    <xdr:clientData/>
  </xdr:twoCellAnchor>
  <xdr:twoCellAnchor>
    <xdr:from>
      <xdr:col>2</xdr:col>
      <xdr:colOff>19050</xdr:colOff>
      <xdr:row>342</xdr:row>
      <xdr:rowOff>0</xdr:rowOff>
    </xdr:from>
    <xdr:to>
      <xdr:col>9</xdr:col>
      <xdr:colOff>0</xdr:colOff>
      <xdr:row>349</xdr:row>
      <xdr:rowOff>114300</xdr:rowOff>
    </xdr:to>
    <xdr:sp>
      <xdr:nvSpPr>
        <xdr:cNvPr id="54" name="Text Box 85"/>
        <xdr:cNvSpPr txBox="1">
          <a:spLocks noChangeArrowheads="1"/>
        </xdr:cNvSpPr>
      </xdr:nvSpPr>
      <xdr:spPr>
        <a:xfrm>
          <a:off x="485775" y="55930800"/>
          <a:ext cx="6000750" cy="1247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30 August 2007, the Deputy Registrar of the High Court of Shah Alam has allowed the Company's application that the Suit by CWorks against the Company to be adjourned indefinitely 'sine die' and the claim by CWorks to be proceeded by the way of arbitration. CWorks has filed an appeal against the Registrar's decision and no hearing date has been fixed as at the date of this announcement.</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are of the opinion that CWorks' claims are premature in nature and in breach of its contractual obligations.</a:t>
          </a:r>
        </a:p>
      </xdr:txBody>
    </xdr:sp>
    <xdr:clientData/>
  </xdr:twoCellAnchor>
  <xdr:twoCellAnchor>
    <xdr:from>
      <xdr:col>2</xdr:col>
      <xdr:colOff>247650</xdr:colOff>
      <xdr:row>148</xdr:row>
      <xdr:rowOff>0</xdr:rowOff>
    </xdr:from>
    <xdr:to>
      <xdr:col>8</xdr:col>
      <xdr:colOff>1028700</xdr:colOff>
      <xdr:row>148</xdr:row>
      <xdr:rowOff>0</xdr:rowOff>
    </xdr:to>
    <xdr:sp>
      <xdr:nvSpPr>
        <xdr:cNvPr id="55" name="Text Box 87"/>
        <xdr:cNvSpPr txBox="1">
          <a:spLocks noChangeArrowheads="1"/>
        </xdr:cNvSpPr>
      </xdr:nvSpPr>
      <xdr:spPr>
        <a:xfrm>
          <a:off x="714375" y="24488775"/>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0</xdr:colOff>
      <xdr:row>200</xdr:row>
      <xdr:rowOff>0</xdr:rowOff>
    </xdr:from>
    <xdr:to>
      <xdr:col>8</xdr:col>
      <xdr:colOff>1019175</xdr:colOff>
      <xdr:row>203</xdr:row>
      <xdr:rowOff>85725</xdr:rowOff>
    </xdr:to>
    <xdr:sp>
      <xdr:nvSpPr>
        <xdr:cNvPr id="56" name="Text Box 93"/>
        <xdr:cNvSpPr txBox="1">
          <a:spLocks noChangeArrowheads="1"/>
        </xdr:cNvSpPr>
      </xdr:nvSpPr>
      <xdr:spPr>
        <a:xfrm>
          <a:off x="466725" y="32908875"/>
          <a:ext cx="5991225" cy="5715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1</xdr:col>
      <xdr:colOff>9525</xdr:colOff>
      <xdr:row>17</xdr:row>
      <xdr:rowOff>0</xdr:rowOff>
    </xdr:from>
    <xdr:to>
      <xdr:col>8</xdr:col>
      <xdr:colOff>1028700</xdr:colOff>
      <xdr:row>27</xdr:row>
      <xdr:rowOff>133350</xdr:rowOff>
    </xdr:to>
    <xdr:sp>
      <xdr:nvSpPr>
        <xdr:cNvPr id="57" name="Text Box 3261"/>
        <xdr:cNvSpPr txBox="1">
          <a:spLocks noChangeArrowheads="1"/>
        </xdr:cNvSpPr>
      </xdr:nvSpPr>
      <xdr:spPr>
        <a:xfrm>
          <a:off x="228600" y="2752725"/>
          <a:ext cx="6238875" cy="1752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revenue of RM55.21 million for the current financial year ended 31 December 2007 is RM55.73 million or 50% lower than the revenue of RM110.94 million reported in the previous financial year ended 31 December 2006. This is mainly due to the fact that the projects carried out during the current financial year are mainly the provision of engineering solutions in relation to Intelligent Building Management System ("IBMS") and Integrated Security Management System ("ISMS") which are  of smaller scale compared to the e-Project Management of Medical &amp; Non-Medical Equipment implemented during previous financial year. In line with the drop in revenue, coupled with the increase in operating expenses, the profit before taxation for the current financial year ended 31 December 2007 is reported at RM1.27 million, which is RM11.29 million or 90% lower than the corresponding figure of RM12.56 million reported in the previous financial year ended 31 December 2006. The drop in profit, however, is mitigated by the share of profit of the associates.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38</xdr:row>
      <xdr:rowOff>28575</xdr:rowOff>
    </xdr:from>
    <xdr:to>
      <xdr:col>8</xdr:col>
      <xdr:colOff>1028700</xdr:colOff>
      <xdr:row>47</xdr:row>
      <xdr:rowOff>28575</xdr:rowOff>
    </xdr:to>
    <xdr:sp>
      <xdr:nvSpPr>
        <xdr:cNvPr id="58" name="Text Box 48"/>
        <xdr:cNvSpPr txBox="1">
          <a:spLocks noChangeArrowheads="1"/>
        </xdr:cNvSpPr>
      </xdr:nvSpPr>
      <xdr:spPr>
        <a:xfrm>
          <a:off x="238125" y="6238875"/>
          <a:ext cx="6229350" cy="1543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IBMS and ISMS market is expected to remain competitive in the forthcoming year. The Group will continue focusing on product expansion and enhancement, service quality and operational efficiency to stay competitive in the market. The Group's core business, i.e. provision of engineering solutions in relation to IBMS and ISMS, is expected to remain as the main contributor to the Group's revenue and results for the forthcoming year. Besides IBMS and ISMS projects, the Group has also been actively tendering for larger scale projects in relation to Mechanical and Electrical Engineering, both locally and overseas. In addition, the Company's associated companies that were acquired during the current financial year are expected to make a positive contribution to the Group's profit for the year 2008. The Directors are of the opinion that the Group should be able to perform better in the forthcoming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141</xdr:row>
      <xdr:rowOff>0</xdr:rowOff>
    </xdr:from>
    <xdr:to>
      <xdr:col>8</xdr:col>
      <xdr:colOff>1028700</xdr:colOff>
      <xdr:row>141</xdr:row>
      <xdr:rowOff>0</xdr:rowOff>
    </xdr:to>
    <xdr:sp>
      <xdr:nvSpPr>
        <xdr:cNvPr id="59" name="Text Box 87"/>
        <xdr:cNvSpPr txBox="1">
          <a:spLocks noChangeArrowheads="1"/>
        </xdr:cNvSpPr>
      </xdr:nvSpPr>
      <xdr:spPr>
        <a:xfrm>
          <a:off x="714375" y="23355300"/>
          <a:ext cx="57531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150</xdr:row>
      <xdr:rowOff>0</xdr:rowOff>
    </xdr:from>
    <xdr:to>
      <xdr:col>8</xdr:col>
      <xdr:colOff>1028700</xdr:colOff>
      <xdr:row>153</xdr:row>
      <xdr:rowOff>66675</xdr:rowOff>
    </xdr:to>
    <xdr:sp>
      <xdr:nvSpPr>
        <xdr:cNvPr id="60" name="Text Box 87"/>
        <xdr:cNvSpPr txBox="1">
          <a:spLocks noChangeArrowheads="1"/>
        </xdr:cNvSpPr>
      </xdr:nvSpPr>
      <xdr:spPr>
        <a:xfrm>
          <a:off x="476250" y="24812625"/>
          <a:ext cx="5991225" cy="55245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224</xdr:row>
      <xdr:rowOff>9525</xdr:rowOff>
    </xdr:from>
    <xdr:to>
      <xdr:col>8</xdr:col>
      <xdr:colOff>1019175</xdr:colOff>
      <xdr:row>227</xdr:row>
      <xdr:rowOff>104775</xdr:rowOff>
    </xdr:to>
    <xdr:sp>
      <xdr:nvSpPr>
        <xdr:cNvPr id="61" name="Text Box 114"/>
        <xdr:cNvSpPr txBox="1">
          <a:spLocks noChangeArrowheads="1"/>
        </xdr:cNvSpPr>
      </xdr:nvSpPr>
      <xdr:spPr>
        <a:xfrm>
          <a:off x="485775" y="36804600"/>
          <a:ext cx="5972175" cy="581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30 January 2008, MGB announced that the Company had on even date entered into a Shares Sale Agreement ("Agreement") with Goldis Berhad ("Goldis") for the acquisition of the following shares ("Proposed Acquisition"):-</a:t>
          </a:r>
        </a:p>
      </xdr:txBody>
    </xdr:sp>
    <xdr:clientData/>
  </xdr:twoCellAnchor>
  <xdr:twoCellAnchor>
    <xdr:from>
      <xdr:col>2</xdr:col>
      <xdr:colOff>209550</xdr:colOff>
      <xdr:row>228</xdr:row>
      <xdr:rowOff>0</xdr:rowOff>
    </xdr:from>
    <xdr:to>
      <xdr:col>8</xdr:col>
      <xdr:colOff>1019175</xdr:colOff>
      <xdr:row>237</xdr:row>
      <xdr:rowOff>76200</xdr:rowOff>
    </xdr:to>
    <xdr:sp>
      <xdr:nvSpPr>
        <xdr:cNvPr id="62" name="Text Box 114"/>
        <xdr:cNvSpPr txBox="1">
          <a:spLocks noChangeArrowheads="1"/>
        </xdr:cNvSpPr>
      </xdr:nvSpPr>
      <xdr:spPr>
        <a:xfrm>
          <a:off x="676275" y="37442775"/>
          <a:ext cx="5781675" cy="1533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considearion of RM10,197.00;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RM134,700.00 from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cash consideration for the Proposed Acquisition amounted to RM1,200,000.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238</xdr:row>
      <xdr:rowOff>0</xdr:rowOff>
    </xdr:from>
    <xdr:to>
      <xdr:col>8</xdr:col>
      <xdr:colOff>1028700</xdr:colOff>
      <xdr:row>244</xdr:row>
      <xdr:rowOff>85725</xdr:rowOff>
    </xdr:to>
    <xdr:sp>
      <xdr:nvSpPr>
        <xdr:cNvPr id="63" name="Text Box 114"/>
        <xdr:cNvSpPr txBox="1">
          <a:spLocks noChangeArrowheads="1"/>
        </xdr:cNvSpPr>
      </xdr:nvSpPr>
      <xdr:spPr>
        <a:xfrm>
          <a:off x="495300" y="39062025"/>
          <a:ext cx="5972175" cy="1057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Proposed Acquisition is subject to the approval of the Foreign Investment Committee.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tabSelected="1" zoomScaleSheetLayoutView="100" zoomScalePageLayoutView="0" workbookViewId="0" topLeftCell="A3">
      <selection activeCell="L11" sqref="L11"/>
    </sheetView>
  </sheetViews>
  <sheetFormatPr defaultColWidth="9.140625" defaultRowHeight="12.75"/>
  <cols>
    <col min="1" max="1" width="9.28125" style="0" bestFit="1" customWidth="1"/>
  </cols>
  <sheetData>
    <row r="10" spans="2:8" ht="23.25">
      <c r="B10" s="112" t="s">
        <v>95</v>
      </c>
      <c r="C10" s="112"/>
      <c r="D10" s="112"/>
      <c r="E10" s="112"/>
      <c r="F10" s="112"/>
      <c r="G10" s="112"/>
      <c r="H10" s="112"/>
    </row>
    <row r="11" spans="2:8" ht="15" customHeight="1">
      <c r="B11" s="113" t="s">
        <v>96</v>
      </c>
      <c r="C11" s="113"/>
      <c r="D11" s="113"/>
      <c r="E11" s="113"/>
      <c r="F11" s="113"/>
      <c r="G11" s="113"/>
      <c r="H11" s="113"/>
    </row>
    <row r="12" spans="2:8" ht="15" customHeight="1">
      <c r="B12" s="113" t="s">
        <v>97</v>
      </c>
      <c r="C12" s="113"/>
      <c r="D12" s="113"/>
      <c r="E12" s="113"/>
      <c r="F12" s="113"/>
      <c r="G12" s="113"/>
      <c r="H12" s="113"/>
    </row>
    <row r="13" ht="20.25">
      <c r="B13" s="47"/>
    </row>
    <row r="14" spans="2:8" s="48" customFormat="1" ht="18">
      <c r="B14" s="110" t="s">
        <v>99</v>
      </c>
      <c r="C14" s="110"/>
      <c r="D14" s="110"/>
      <c r="E14" s="110"/>
      <c r="F14" s="110"/>
      <c r="G14" s="110"/>
      <c r="H14" s="110"/>
    </row>
    <row r="15" s="48" customFormat="1" ht="18">
      <c r="B15" s="49"/>
    </row>
    <row r="16" spans="2:8" s="48" customFormat="1" ht="18">
      <c r="B16" s="110" t="s">
        <v>179</v>
      </c>
      <c r="C16" s="110"/>
      <c r="D16" s="110"/>
      <c r="E16" s="110"/>
      <c r="F16" s="110"/>
      <c r="G16" s="110"/>
      <c r="H16" s="110"/>
    </row>
    <row r="17" s="48" customFormat="1" ht="18">
      <c r="B17" s="49"/>
    </row>
    <row r="18" spans="2:8" s="48" customFormat="1" ht="18">
      <c r="B18" s="111" t="s">
        <v>232</v>
      </c>
      <c r="C18" s="111"/>
      <c r="D18" s="111"/>
      <c r="E18" s="111"/>
      <c r="F18" s="111"/>
      <c r="G18" s="111"/>
      <c r="H18" s="111"/>
    </row>
  </sheetData>
  <sheetProtection/>
  <mergeCells count="6">
    <mergeCell ref="B16:H16"/>
    <mergeCell ref="B18:H18"/>
    <mergeCell ref="B10:H10"/>
    <mergeCell ref="B11:H11"/>
    <mergeCell ref="B12:H12"/>
    <mergeCell ref="B14:H14"/>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4">
      <selection activeCell="G31" sqref="G31"/>
    </sheetView>
  </sheetViews>
  <sheetFormatPr defaultColWidth="9.140625" defaultRowHeight="12.75"/>
  <cols>
    <col min="1" max="1" width="10.28125" style="2" customWidth="1"/>
    <col min="2" max="2" width="21.140625" style="2" customWidth="1"/>
    <col min="3" max="3" width="5.8515625" style="30" customWidth="1"/>
    <col min="4" max="5" width="13.421875" style="3" customWidth="1"/>
    <col min="6" max="6" width="1.57421875" style="3" customWidth="1"/>
    <col min="7" max="8" width="13.421875" style="3" customWidth="1"/>
    <col min="9" max="9" width="11.421875" style="2" customWidth="1"/>
    <col min="10" max="16384" width="9.140625" style="2" customWidth="1"/>
  </cols>
  <sheetData>
    <row r="1" ht="12.75">
      <c r="A1" s="1" t="s">
        <v>0</v>
      </c>
    </row>
    <row r="2" ht="12.75">
      <c r="A2" s="2" t="s">
        <v>1</v>
      </c>
    </row>
    <row r="4" spans="1:8" s="1" customFormat="1" ht="12.75">
      <c r="A4" s="1" t="s">
        <v>153</v>
      </c>
      <c r="C4" s="43"/>
      <c r="D4" s="4"/>
      <c r="E4" s="4"/>
      <c r="F4" s="4"/>
      <c r="G4" s="4"/>
      <c r="H4" s="4"/>
    </row>
    <row r="5" spans="1:8" s="1" customFormat="1" ht="12.75">
      <c r="A5" s="1" t="s">
        <v>233</v>
      </c>
      <c r="C5" s="43"/>
      <c r="D5" s="4"/>
      <c r="E5" s="4"/>
      <c r="F5" s="4"/>
      <c r="G5" s="4"/>
      <c r="H5" s="4"/>
    </row>
    <row r="6" spans="1:5" ht="12.75">
      <c r="A6" s="2" t="s">
        <v>2</v>
      </c>
      <c r="E6" s="62"/>
    </row>
    <row r="8" spans="4:8" ht="12.75">
      <c r="D8" s="114" t="s">
        <v>119</v>
      </c>
      <c r="E8" s="114"/>
      <c r="F8" s="54"/>
      <c r="G8" s="114" t="s">
        <v>109</v>
      </c>
      <c r="H8" s="114"/>
    </row>
    <row r="9" spans="3:8" ht="12.75">
      <c r="C9" s="43" t="s">
        <v>55</v>
      </c>
      <c r="D9" s="54" t="s">
        <v>236</v>
      </c>
      <c r="E9" s="54" t="s">
        <v>178</v>
      </c>
      <c r="F9" s="54"/>
      <c r="G9" s="54" t="str">
        <f>D9</f>
        <v>31.12.2007</v>
      </c>
      <c r="H9" s="54" t="str">
        <f>E9</f>
        <v>31.12.2006</v>
      </c>
    </row>
    <row r="10" spans="4:8" ht="12.75">
      <c r="D10" s="54"/>
      <c r="E10" s="54"/>
      <c r="F10" s="54"/>
      <c r="G10" s="88"/>
      <c r="H10" s="54"/>
    </row>
    <row r="11" spans="4:8" ht="12.75">
      <c r="D11" s="54" t="s">
        <v>28</v>
      </c>
      <c r="E11" s="54" t="s">
        <v>28</v>
      </c>
      <c r="F11" s="54"/>
      <c r="G11" s="54" t="s">
        <v>28</v>
      </c>
      <c r="H11" s="54" t="s">
        <v>28</v>
      </c>
    </row>
    <row r="12" spans="4:8" ht="12.75">
      <c r="D12" s="5"/>
      <c r="E12" s="5"/>
      <c r="F12" s="5"/>
      <c r="G12" s="5"/>
      <c r="H12" s="5"/>
    </row>
    <row r="13" spans="1:10" ht="12.75">
      <c r="A13" s="2" t="s">
        <v>3</v>
      </c>
      <c r="D13" s="3">
        <f>G13-17055299-10986336-12525585</f>
        <v>14647517</v>
      </c>
      <c r="E13" s="3">
        <f>29607920-1252</f>
        <v>29606668</v>
      </c>
      <c r="G13" s="3">
        <v>55214737</v>
      </c>
      <c r="H13" s="3">
        <f>25380416+25420032+30534599+E13</f>
        <v>110941715</v>
      </c>
      <c r="I13" s="73"/>
      <c r="J13" s="74"/>
    </row>
    <row r="15" spans="1:8" ht="12.75">
      <c r="A15" s="2" t="s">
        <v>4</v>
      </c>
      <c r="D15" s="6">
        <f>G15+12107237+8055731+10851570</f>
        <v>-11484570</v>
      </c>
      <c r="E15" s="6">
        <v>-22174445</v>
      </c>
      <c r="G15" s="6">
        <v>-42499108</v>
      </c>
      <c r="H15" s="6">
        <f>-20336295-20340157-24798796+E15</f>
        <v>-87649693</v>
      </c>
    </row>
    <row r="17" spans="1:8" ht="12.75">
      <c r="A17" s="2" t="s">
        <v>5</v>
      </c>
      <c r="D17" s="3">
        <f>SUM(D13:D15)</f>
        <v>3162947</v>
      </c>
      <c r="E17" s="3">
        <f>SUM(E13:E15)</f>
        <v>7432223</v>
      </c>
      <c r="G17" s="3">
        <f>SUM(G13:G15)</f>
        <v>12715629</v>
      </c>
      <c r="H17" s="3">
        <f>SUM(H13:H15)</f>
        <v>23292022</v>
      </c>
    </row>
    <row r="19" spans="1:8" ht="12.75">
      <c r="A19" s="2" t="s">
        <v>6</v>
      </c>
      <c r="D19" s="3">
        <f>G19-43022-11063-27649</f>
        <v>309480</v>
      </c>
      <c r="E19" s="3">
        <v>26871</v>
      </c>
      <c r="G19" s="3">
        <f>108155+283059</f>
        <v>391214</v>
      </c>
      <c r="H19" s="3">
        <f>52950+362830+32868+E19</f>
        <v>475519</v>
      </c>
    </row>
    <row r="20" spans="4:8" ht="12.75">
      <c r="D20" s="11"/>
      <c r="E20" s="11"/>
      <c r="F20" s="11"/>
      <c r="G20" s="11"/>
      <c r="H20" s="11"/>
    </row>
    <row r="21" spans="1:8" ht="12.75">
      <c r="A21" s="2" t="s">
        <v>164</v>
      </c>
      <c r="D21" s="11">
        <f>G21+581916+794871+882014</f>
        <v>-1052689</v>
      </c>
      <c r="E21" s="94">
        <f>-717173+1252</f>
        <v>-715921</v>
      </c>
      <c r="F21" s="11"/>
      <c r="G21" s="11">
        <v>-3311490</v>
      </c>
      <c r="H21" s="94">
        <f>-517396-532592-638418+E21</f>
        <v>-2404327</v>
      </c>
    </row>
    <row r="22" spans="4:8" ht="12.75">
      <c r="D22" s="11"/>
      <c r="E22" s="94"/>
      <c r="F22" s="11"/>
      <c r="G22" s="11"/>
      <c r="H22" s="94"/>
    </row>
    <row r="23" spans="1:8" ht="12.75">
      <c r="A23" s="2" t="s">
        <v>10</v>
      </c>
      <c r="D23" s="11">
        <f>G23+1854158+2258736+1864735</f>
        <v>-5495423</v>
      </c>
      <c r="E23" s="94">
        <f>-3145419-150844</f>
        <v>-3296263</v>
      </c>
      <c r="F23" s="11"/>
      <c r="G23" s="11">
        <f>-7248769-775973-5267-645034-2514950-283059</f>
        <v>-11473052</v>
      </c>
      <c r="H23" s="94">
        <f>-1726646-1896755-1954205+E23</f>
        <v>-8873869</v>
      </c>
    </row>
    <row r="24" spans="4:8" ht="12.75">
      <c r="D24" s="11"/>
      <c r="E24" s="11"/>
      <c r="F24" s="11"/>
      <c r="G24" s="11"/>
      <c r="H24" s="11"/>
    </row>
    <row r="25" spans="1:8" ht="12.75">
      <c r="A25" s="2" t="s">
        <v>49</v>
      </c>
      <c r="D25" s="3">
        <f>G25+52369+53901+150371</f>
        <v>-197950</v>
      </c>
      <c r="E25" s="3">
        <v>-81758</v>
      </c>
      <c r="G25" s="3">
        <v>-454591</v>
      </c>
      <c r="H25" s="3">
        <f>-27275-49604-33958+E25</f>
        <v>-192595</v>
      </c>
    </row>
    <row r="26" spans="4:8" ht="12.75">
      <c r="D26" s="11"/>
      <c r="E26" s="11"/>
      <c r="F26" s="11"/>
      <c r="G26" s="11"/>
      <c r="H26" s="11"/>
    </row>
    <row r="27" spans="1:8" ht="12.75">
      <c r="A27" s="2" t="s">
        <v>7</v>
      </c>
      <c r="D27" s="11">
        <f>G27-17626-43802-119185</f>
        <v>78966</v>
      </c>
      <c r="E27" s="11">
        <v>78130</v>
      </c>
      <c r="F27" s="11"/>
      <c r="G27" s="11">
        <v>259579</v>
      </c>
      <c r="H27" s="11">
        <f>16165+31980+137643+E27</f>
        <v>263918</v>
      </c>
    </row>
    <row r="28" spans="4:7" ht="12.75">
      <c r="D28" s="11"/>
      <c r="F28" s="11"/>
      <c r="G28" s="11"/>
    </row>
    <row r="29" spans="1:8" ht="12.75">
      <c r="A29" s="2" t="s">
        <v>207</v>
      </c>
      <c r="C29" s="2"/>
      <c r="D29" s="6">
        <f>G29-456416-1287712</f>
        <v>1402204</v>
      </c>
      <c r="E29" s="58">
        <v>0</v>
      </c>
      <c r="F29" s="2"/>
      <c r="G29" s="6">
        <v>3146332</v>
      </c>
      <c r="H29" s="58">
        <v>0</v>
      </c>
    </row>
    <row r="30" spans="4:8" ht="12.75">
      <c r="D30" s="11"/>
      <c r="E30" s="11"/>
      <c r="F30" s="11"/>
      <c r="G30" s="11"/>
      <c r="H30" s="11"/>
    </row>
    <row r="31" spans="1:10" ht="12.75">
      <c r="A31" s="2" t="s">
        <v>254</v>
      </c>
      <c r="D31" s="3">
        <f>SUM(D17:D29)</f>
        <v>-1792465</v>
      </c>
      <c r="E31" s="3">
        <f>SUM(E17:E29)</f>
        <v>3443282</v>
      </c>
      <c r="F31" s="3">
        <f>SUM(F17:F28)</f>
        <v>0</v>
      </c>
      <c r="G31" s="3">
        <f>SUM(G17:G29)</f>
        <v>1273621</v>
      </c>
      <c r="H31" s="3">
        <f>SUM(H17:H29)</f>
        <v>12560668</v>
      </c>
      <c r="I31" s="73"/>
      <c r="J31" s="74"/>
    </row>
    <row r="33" spans="1:8" ht="12.75">
      <c r="A33" s="2" t="s">
        <v>8</v>
      </c>
      <c r="C33" s="30">
        <v>20</v>
      </c>
      <c r="D33" s="11">
        <f>G33+914000+64200+114946</f>
        <v>231029</v>
      </c>
      <c r="E33" s="11">
        <f>-916601+76000</f>
        <v>-840601</v>
      </c>
      <c r="F33" s="11"/>
      <c r="G33" s="11">
        <v>-862117</v>
      </c>
      <c r="H33" s="11">
        <f>-882611-902237-906644+E33</f>
        <v>-3532093</v>
      </c>
    </row>
    <row r="34" spans="4:8" ht="12.75">
      <c r="D34" s="6"/>
      <c r="E34" s="6"/>
      <c r="F34" s="11"/>
      <c r="G34" s="6"/>
      <c r="H34" s="6"/>
    </row>
    <row r="35" spans="1:8" ht="13.5" thickBot="1">
      <c r="A35" s="2" t="s">
        <v>255</v>
      </c>
      <c r="D35" s="10">
        <f>SUM(D31:D33)</f>
        <v>-1561436</v>
      </c>
      <c r="E35" s="10">
        <f>SUM(E31:E33)</f>
        <v>2602681</v>
      </c>
      <c r="F35" s="11"/>
      <c r="G35" s="10">
        <f>SUM(G31:G33)</f>
        <v>411504</v>
      </c>
      <c r="H35" s="10">
        <f>SUM(H31:H33)</f>
        <v>9028575</v>
      </c>
    </row>
    <row r="36" spans="4:8" ht="13.5" thickTop="1">
      <c r="D36" s="11"/>
      <c r="E36" s="11"/>
      <c r="G36" s="11"/>
      <c r="H36" s="11"/>
    </row>
    <row r="37" spans="4:8" ht="12.75">
      <c r="D37" s="11"/>
      <c r="E37" s="11"/>
      <c r="G37" s="11"/>
      <c r="H37" s="11"/>
    </row>
    <row r="38" spans="1:8" ht="12.75">
      <c r="A38" s="2" t="s">
        <v>158</v>
      </c>
      <c r="D38" s="11"/>
      <c r="E38" s="11"/>
      <c r="G38" s="11"/>
      <c r="H38" s="11"/>
    </row>
    <row r="39" spans="4:8" ht="12.75">
      <c r="D39" s="11"/>
      <c r="E39" s="11"/>
      <c r="G39" s="11"/>
      <c r="H39" s="11"/>
    </row>
    <row r="40" spans="1:8" ht="12.75">
      <c r="A40" s="2" t="s">
        <v>157</v>
      </c>
      <c r="D40" s="11">
        <f>D44-D42</f>
        <v>-1398753</v>
      </c>
      <c r="E40" s="11">
        <f>E44-E42</f>
        <v>2737770</v>
      </c>
      <c r="F40" s="11"/>
      <c r="G40" s="11">
        <f>G44-G42</f>
        <v>985821</v>
      </c>
      <c r="H40" s="11">
        <f>H44-H42</f>
        <v>9214592</v>
      </c>
    </row>
    <row r="41" spans="4:8" ht="12.75">
      <c r="D41" s="11"/>
      <c r="E41" s="11"/>
      <c r="F41" s="11"/>
      <c r="G41" s="11"/>
      <c r="H41" s="11"/>
    </row>
    <row r="42" spans="1:8" ht="12.75">
      <c r="A42" s="2" t="s">
        <v>155</v>
      </c>
      <c r="D42" s="11">
        <f>G42+128836+144936+137862</f>
        <v>-162683</v>
      </c>
      <c r="E42" s="11">
        <f>-50928-84161</f>
        <v>-135089</v>
      </c>
      <c r="F42" s="11">
        <f>SUM(F31:F41)</f>
        <v>0</v>
      </c>
      <c r="G42" s="11">
        <v>-574317</v>
      </c>
      <c r="H42" s="11">
        <f>0-50928+E42</f>
        <v>-186017</v>
      </c>
    </row>
    <row r="43" spans="4:8" ht="12.75">
      <c r="D43" s="11"/>
      <c r="E43" s="11"/>
      <c r="F43" s="11"/>
      <c r="G43" s="11"/>
      <c r="H43" s="11"/>
    </row>
    <row r="44" spans="4:8" ht="13.5" thickBot="1">
      <c r="D44" s="10">
        <f>D35</f>
        <v>-1561436</v>
      </c>
      <c r="E44" s="10">
        <f>E35</f>
        <v>2602681</v>
      </c>
      <c r="F44" s="11"/>
      <c r="G44" s="10">
        <f>G35</f>
        <v>411504</v>
      </c>
      <c r="H44" s="10">
        <f>H35</f>
        <v>9028575</v>
      </c>
    </row>
    <row r="45" spans="4:8" ht="13.5" thickTop="1">
      <c r="D45" s="11"/>
      <c r="E45" s="11"/>
      <c r="F45" s="11"/>
      <c r="G45" s="11"/>
      <c r="H45" s="11"/>
    </row>
    <row r="47" spans="1:8" ht="12.75" hidden="1">
      <c r="A47" s="29" t="s">
        <v>48</v>
      </c>
      <c r="D47" s="3">
        <v>634906903</v>
      </c>
      <c r="E47" s="3">
        <v>283540000</v>
      </c>
      <c r="G47" s="3">
        <v>459929358</v>
      </c>
      <c r="H47" s="3">
        <v>283540000</v>
      </c>
    </row>
    <row r="48" ht="12.75" hidden="1">
      <c r="A48" s="29"/>
    </row>
    <row r="49" spans="1:8" ht="12.75">
      <c r="A49" s="2" t="s">
        <v>11</v>
      </c>
      <c r="D49" s="64"/>
      <c r="G49" s="5"/>
      <c r="H49" s="5"/>
    </row>
    <row r="50" spans="2:8" ht="12.75">
      <c r="B50" s="2" t="s">
        <v>56</v>
      </c>
      <c r="D50" s="64">
        <f>D40/D47*100</f>
        <v>-0.22030836227969003</v>
      </c>
      <c r="E50" s="64">
        <f>E40/E47*100</f>
        <v>0.9655674684347887</v>
      </c>
      <c r="G50" s="63">
        <f>G40/G47*100</f>
        <v>0.21434182942503097</v>
      </c>
      <c r="H50" s="64">
        <f>H40/H47*100</f>
        <v>3.2498384707625028</v>
      </c>
    </row>
    <row r="51" spans="2:8" ht="12.75">
      <c r="B51" s="2" t="s">
        <v>57</v>
      </c>
      <c r="D51" s="64">
        <f>D50</f>
        <v>-0.22030836227969003</v>
      </c>
      <c r="E51" s="68">
        <f>E50</f>
        <v>0.9655674684347887</v>
      </c>
      <c r="G51" s="63">
        <f>G50</f>
        <v>0.21434182942503097</v>
      </c>
      <c r="H51" s="68">
        <f>H50</f>
        <v>3.2498384707625028</v>
      </c>
    </row>
    <row r="52" spans="2:8" ht="12.75">
      <c r="B52" s="24"/>
      <c r="C52" s="35"/>
      <c r="D52" s="11"/>
      <c r="E52" s="11"/>
      <c r="G52" s="5"/>
      <c r="H52" s="5"/>
    </row>
    <row r="53" ht="12.75">
      <c r="G53" s="5"/>
    </row>
    <row r="54" ht="12.75" hidden="1">
      <c r="G54" s="5"/>
    </row>
  </sheetData>
  <sheetProtection/>
  <mergeCells count="2">
    <mergeCell ref="G8:H8"/>
    <mergeCell ref="D8:E8"/>
  </mergeCells>
  <printOptions horizontalCentered="1"/>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26">
      <selection activeCell="F54" sqref="F54"/>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218</v>
      </c>
      <c r="C4" s="43"/>
      <c r="D4" s="4"/>
      <c r="E4" s="4"/>
      <c r="F4" s="4"/>
    </row>
    <row r="5" spans="1:6" s="1" customFormat="1" ht="12.75">
      <c r="A5" s="1" t="s">
        <v>234</v>
      </c>
      <c r="C5" s="43"/>
      <c r="D5" s="4"/>
      <c r="E5" s="4"/>
      <c r="F5" s="4"/>
    </row>
    <row r="6" spans="1:7" s="1" customFormat="1" ht="12.75">
      <c r="A6" s="2" t="s">
        <v>2</v>
      </c>
      <c r="C6" s="43"/>
      <c r="D6" s="4"/>
      <c r="E6" s="4"/>
      <c r="F6" s="54"/>
      <c r="G6" s="43"/>
    </row>
    <row r="7" spans="3:7" ht="12.75">
      <c r="C7" s="43"/>
      <c r="D7" s="54" t="s">
        <v>60</v>
      </c>
      <c r="E7" s="54" t="s">
        <v>60</v>
      </c>
      <c r="F7" s="54"/>
      <c r="G7" s="43" t="s">
        <v>120</v>
      </c>
    </row>
    <row r="8" spans="3:7" ht="12.75">
      <c r="C8" s="43"/>
      <c r="D8" s="54" t="s">
        <v>58</v>
      </c>
      <c r="E8" s="54" t="s">
        <v>58</v>
      </c>
      <c r="F8" s="54" t="s">
        <v>58</v>
      </c>
      <c r="G8" s="43" t="s">
        <v>59</v>
      </c>
    </row>
    <row r="9" spans="3:7" ht="12.75">
      <c r="C9" s="43" t="s">
        <v>55</v>
      </c>
      <c r="D9" s="54" t="s">
        <v>102</v>
      </c>
      <c r="E9" s="54" t="s">
        <v>110</v>
      </c>
      <c r="F9" s="54" t="s">
        <v>236</v>
      </c>
      <c r="G9" s="43" t="s">
        <v>178</v>
      </c>
    </row>
    <row r="10" spans="3:7" ht="12.75">
      <c r="C10" s="43"/>
      <c r="D10" s="54" t="s">
        <v>28</v>
      </c>
      <c r="E10" s="54" t="s">
        <v>28</v>
      </c>
      <c r="F10" s="54" t="s">
        <v>28</v>
      </c>
      <c r="G10" s="54" t="s">
        <v>28</v>
      </c>
    </row>
    <row r="11" spans="4:7" ht="12.75">
      <c r="D11" s="5"/>
      <c r="E11" s="5"/>
      <c r="F11" s="5"/>
      <c r="G11" s="5"/>
    </row>
    <row r="12" spans="1:7" ht="12.75">
      <c r="A12" s="1" t="s">
        <v>137</v>
      </c>
      <c r="D12" s="5"/>
      <c r="E12" s="5"/>
      <c r="F12" s="5"/>
      <c r="G12" s="5"/>
    </row>
    <row r="13" spans="1:6" ht="12.75">
      <c r="A13" s="1" t="s">
        <v>135</v>
      </c>
      <c r="D13" s="8"/>
      <c r="E13" s="8"/>
      <c r="F13" s="8"/>
    </row>
    <row r="14" spans="1:7" ht="12.75">
      <c r="A14" s="2" t="s">
        <v>13</v>
      </c>
      <c r="D14" s="3">
        <v>6287231</v>
      </c>
      <c r="E14" s="3">
        <v>6712693</v>
      </c>
      <c r="F14" s="42">
        <v>10819664</v>
      </c>
      <c r="G14" s="42">
        <v>11119357</v>
      </c>
    </row>
    <row r="15" spans="1:7" ht="12.75">
      <c r="A15" s="2" t="s">
        <v>136</v>
      </c>
      <c r="F15" s="42">
        <v>394483</v>
      </c>
      <c r="G15" s="42">
        <v>399750</v>
      </c>
    </row>
    <row r="16" spans="1:7" ht="12.75">
      <c r="A16" s="2" t="s">
        <v>152</v>
      </c>
      <c r="F16" s="42">
        <f>477354+3117293+5766</f>
        <v>3600413</v>
      </c>
      <c r="G16" s="42">
        <v>3195231</v>
      </c>
    </row>
    <row r="17" spans="1:7" ht="12.75">
      <c r="A17" s="2" t="s">
        <v>208</v>
      </c>
      <c r="F17" s="42">
        <f>16918130+6878807</f>
        <v>23796937</v>
      </c>
      <c r="G17" s="42">
        <v>0</v>
      </c>
    </row>
    <row r="18" spans="1:7" ht="12.75">
      <c r="A18" s="2" t="s">
        <v>116</v>
      </c>
      <c r="D18" s="3">
        <v>139121</v>
      </c>
      <c r="E18" s="3">
        <v>139121</v>
      </c>
      <c r="F18" s="42">
        <f>1188166-513682</f>
        <v>674484</v>
      </c>
      <c r="G18" s="42">
        <v>546482</v>
      </c>
    </row>
    <row r="19" spans="1:7" ht="12.75">
      <c r="A19" s="2" t="s">
        <v>53</v>
      </c>
      <c r="D19" s="3">
        <v>970000</v>
      </c>
      <c r="E19" s="3">
        <v>1000000</v>
      </c>
      <c r="F19" s="42">
        <v>1651000</v>
      </c>
      <c r="G19" s="42">
        <v>1371000</v>
      </c>
    </row>
    <row r="20" spans="6:7" ht="12.75">
      <c r="F20" s="55">
        <f>SUM(F14:F19)</f>
        <v>40936981</v>
      </c>
      <c r="G20" s="55">
        <f>SUM(G14:G19)</f>
        <v>16631820</v>
      </c>
    </row>
    <row r="21" spans="6:7" ht="12.75">
      <c r="F21" s="42"/>
      <c r="G21" s="42"/>
    </row>
    <row r="22" spans="1:7" ht="12.75">
      <c r="A22" s="1" t="s">
        <v>14</v>
      </c>
      <c r="F22" s="42"/>
      <c r="G22" s="42"/>
    </row>
    <row r="23" spans="1:7" ht="12.75">
      <c r="A23" s="2" t="s">
        <v>15</v>
      </c>
      <c r="D23" s="3">
        <v>2904663</v>
      </c>
      <c r="E23" s="3">
        <v>2168835</v>
      </c>
      <c r="F23" s="42">
        <v>4514394</v>
      </c>
      <c r="G23" s="42">
        <v>4829625</v>
      </c>
    </row>
    <row r="24" spans="1:7" ht="12.75">
      <c r="A24" s="2" t="s">
        <v>16</v>
      </c>
      <c r="D24" s="3">
        <f>14168190+58610575</f>
        <v>72778765</v>
      </c>
      <c r="E24" s="3">
        <f>3468537+66150885</f>
        <v>69619422</v>
      </c>
      <c r="F24" s="42">
        <f>90575881+7438502</f>
        <v>98014383</v>
      </c>
      <c r="G24" s="42">
        <v>101684285</v>
      </c>
    </row>
    <row r="25" spans="1:7" ht="12.75">
      <c r="A25" s="2" t="s">
        <v>17</v>
      </c>
      <c r="D25" s="3">
        <v>1252119</v>
      </c>
      <c r="E25" s="3">
        <f>1136819+90000+181089</f>
        <v>1407908</v>
      </c>
      <c r="F25" s="42">
        <f>676797+271463+794464+635500</f>
        <v>2378224</v>
      </c>
      <c r="G25" s="42">
        <v>4195478</v>
      </c>
    </row>
    <row r="26" spans="1:7" ht="12.75">
      <c r="A26" s="2" t="s">
        <v>115</v>
      </c>
      <c r="D26" s="3">
        <v>7708450</v>
      </c>
      <c r="E26" s="3">
        <v>7618246</v>
      </c>
      <c r="F26" s="42">
        <v>7370557</v>
      </c>
      <c r="G26" s="42">
        <v>6815888</v>
      </c>
    </row>
    <row r="27" spans="1:7" ht="12.75">
      <c r="A27" s="2" t="s">
        <v>18</v>
      </c>
      <c r="D27" s="3">
        <v>2463427</v>
      </c>
      <c r="E27" s="3">
        <v>19174435</v>
      </c>
      <c r="F27" s="58">
        <f>-605530.32+3480206</f>
        <v>2874675.68</v>
      </c>
      <c r="G27" s="58">
        <v>4148718</v>
      </c>
    </row>
    <row r="28" spans="6:7" ht="12.75">
      <c r="F28" s="56">
        <f>SUM(F23:F27)</f>
        <v>115152233.68</v>
      </c>
      <c r="G28" s="56">
        <f>SUM(G23:G27)</f>
        <v>121673994</v>
      </c>
    </row>
    <row r="29" spans="1:7" ht="13.5" thickBot="1">
      <c r="A29" s="1" t="s">
        <v>140</v>
      </c>
      <c r="D29" s="9">
        <f>SUM(D23:D27)</f>
        <v>87107424</v>
      </c>
      <c r="E29" s="9">
        <f>SUM(E23:E27)</f>
        <v>99988846</v>
      </c>
      <c r="F29" s="59">
        <f>F20+F28</f>
        <v>156089214.68</v>
      </c>
      <c r="G29" s="59">
        <f>G20+G28</f>
        <v>138305814</v>
      </c>
    </row>
    <row r="30" spans="4:7" ht="13.5" thickTop="1">
      <c r="D30" s="11"/>
      <c r="E30" s="11"/>
      <c r="F30" s="56"/>
      <c r="G30" s="56"/>
    </row>
    <row r="31" spans="1:7" ht="12.75">
      <c r="A31" s="1" t="s">
        <v>138</v>
      </c>
      <c r="D31" s="11"/>
      <c r="E31" s="11"/>
      <c r="F31" s="56"/>
      <c r="G31" s="56"/>
    </row>
    <row r="32" spans="1:7" ht="12.75">
      <c r="A32" s="1" t="s">
        <v>165</v>
      </c>
      <c r="D32" s="11"/>
      <c r="E32" s="11"/>
      <c r="F32" s="56"/>
      <c r="G32" s="56"/>
    </row>
    <row r="33" spans="1:7" ht="12.75">
      <c r="A33" s="2" t="s">
        <v>24</v>
      </c>
      <c r="D33" s="3">
        <v>21254000</v>
      </c>
      <c r="E33" s="3">
        <v>28354000</v>
      </c>
      <c r="F33" s="42">
        <f>Equity!D47</f>
        <v>63490690</v>
      </c>
      <c r="G33" s="42">
        <v>28354000</v>
      </c>
    </row>
    <row r="34" spans="1:7" ht="12.75">
      <c r="A34" s="2" t="s">
        <v>112</v>
      </c>
      <c r="D34" s="3">
        <v>0</v>
      </c>
      <c r="E34" s="3">
        <v>6433824</v>
      </c>
      <c r="F34" s="42">
        <f>Equity!E47</f>
        <v>0</v>
      </c>
      <c r="G34" s="42">
        <v>6406222</v>
      </c>
    </row>
    <row r="35" spans="1:7" ht="12.75">
      <c r="A35" s="2" t="s">
        <v>150</v>
      </c>
      <c r="F35" s="42">
        <f>Equity!F47</f>
        <v>254514</v>
      </c>
      <c r="G35" s="42">
        <v>-51769</v>
      </c>
    </row>
    <row r="36" spans="1:7" ht="12.75">
      <c r="A36" s="2" t="s">
        <v>121</v>
      </c>
      <c r="D36" s="6">
        <v>434293</v>
      </c>
      <c r="E36" s="6">
        <v>3120474</v>
      </c>
      <c r="F36" s="58">
        <f>Equity!G47</f>
        <v>17090630</v>
      </c>
      <c r="G36" s="58">
        <v>26710304</v>
      </c>
    </row>
    <row r="37" spans="4:7" ht="12.75">
      <c r="D37" s="3">
        <f>SUM(D33:D36)</f>
        <v>21688293</v>
      </c>
      <c r="E37" s="3">
        <f>SUM(E33:E36)</f>
        <v>37908298</v>
      </c>
      <c r="F37" s="76">
        <f>SUM(F33:F36)</f>
        <v>80835834</v>
      </c>
      <c r="G37" s="76">
        <f>SUM(G33:G36)</f>
        <v>61418757</v>
      </c>
    </row>
    <row r="38" spans="1:7" ht="12.75">
      <c r="A38" s="1" t="s">
        <v>155</v>
      </c>
      <c r="F38" s="56">
        <f>Equity!I47</f>
        <v>820375</v>
      </c>
      <c r="G38" s="56">
        <v>1139138</v>
      </c>
    </row>
    <row r="39" spans="1:7" ht="12.75">
      <c r="A39" s="1" t="s">
        <v>156</v>
      </c>
      <c r="F39" s="55">
        <f>SUM(F37:F38)</f>
        <v>81656209</v>
      </c>
      <c r="G39" s="55">
        <f>SUM(G37:G38)</f>
        <v>62557895</v>
      </c>
    </row>
    <row r="40" spans="6:7" ht="12.75">
      <c r="F40" s="56"/>
      <c r="G40" s="56"/>
    </row>
    <row r="41" spans="1:7" ht="12.75">
      <c r="A41" s="1" t="s">
        <v>160</v>
      </c>
      <c r="F41" s="56"/>
      <c r="G41" s="56"/>
    </row>
    <row r="42" spans="1:7" ht="12.75">
      <c r="A42" s="2" t="s">
        <v>187</v>
      </c>
      <c r="F42" s="56">
        <f>107037-11338-11899</f>
        <v>83800</v>
      </c>
      <c r="G42" s="56">
        <v>107037</v>
      </c>
    </row>
    <row r="43" spans="1:7" ht="12.75">
      <c r="A43" s="2" t="s">
        <v>216</v>
      </c>
      <c r="F43" s="56">
        <v>2450</v>
      </c>
      <c r="G43" s="56">
        <v>0</v>
      </c>
    </row>
    <row r="44" spans="6:7" ht="12.75">
      <c r="F44" s="55">
        <f>SUM(F42:F43)</f>
        <v>86250</v>
      </c>
      <c r="G44" s="55">
        <f>SUM(G42:G43)</f>
        <v>107037</v>
      </c>
    </row>
    <row r="45" spans="6:7" ht="12.75">
      <c r="F45" s="56"/>
      <c r="G45" s="56"/>
    </row>
    <row r="46" spans="1:7" ht="12.75">
      <c r="A46" s="1" t="s">
        <v>19</v>
      </c>
      <c r="F46" s="42"/>
      <c r="G46" s="42"/>
    </row>
    <row r="47" spans="1:7" ht="12.75">
      <c r="A47" s="2" t="s">
        <v>20</v>
      </c>
      <c r="D47" s="3">
        <f>39708627+3055518</f>
        <v>42764145</v>
      </c>
      <c r="E47" s="3">
        <v>40880605</v>
      </c>
      <c r="F47" s="42">
        <f>49523467+2100635</f>
        <v>51624102</v>
      </c>
      <c r="G47" s="42">
        <v>66216200</v>
      </c>
    </row>
    <row r="48" spans="1:7" ht="12.75">
      <c r="A48" s="2" t="s">
        <v>21</v>
      </c>
      <c r="D48" s="3">
        <f>8384266+1738663-75000</f>
        <v>10047929</v>
      </c>
      <c r="E48" s="3">
        <f>8495411+2979531+539058</f>
        <v>12014000</v>
      </c>
      <c r="F48" s="42">
        <f>4961627+3506461+3660115+887045+400000+11338+11899</f>
        <v>13438485</v>
      </c>
      <c r="G48" s="42">
        <v>5364139</v>
      </c>
    </row>
    <row r="49" spans="1:7" ht="12.75">
      <c r="A49" s="2" t="s">
        <v>22</v>
      </c>
      <c r="C49" s="30">
        <v>24</v>
      </c>
      <c r="D49" s="3">
        <v>10905554</v>
      </c>
      <c r="E49" s="3">
        <v>8890984</v>
      </c>
      <c r="F49" s="42">
        <f>'Notes-B'!I255</f>
        <v>9246386</v>
      </c>
      <c r="G49" s="42">
        <v>3036543</v>
      </c>
    </row>
    <row r="50" spans="1:7" ht="12.75">
      <c r="A50" s="2" t="s">
        <v>23</v>
      </c>
      <c r="D50" s="3">
        <v>4737823</v>
      </c>
      <c r="E50" s="3">
        <v>3857702</v>
      </c>
      <c r="F50" s="58">
        <f>-604554+635500+6837</f>
        <v>37783</v>
      </c>
      <c r="G50" s="58">
        <v>1024000</v>
      </c>
    </row>
    <row r="51" spans="6:7" ht="12.75">
      <c r="F51" s="42">
        <f>SUM(F47:F50)</f>
        <v>74346756</v>
      </c>
      <c r="G51" s="42">
        <f>SUM(G47:G50)</f>
        <v>75640882</v>
      </c>
    </row>
    <row r="52" spans="1:7" ht="12.75">
      <c r="A52" s="1" t="s">
        <v>141</v>
      </c>
      <c r="D52" s="9">
        <f>SUM(D47:D50)</f>
        <v>68455451</v>
      </c>
      <c r="E52" s="9">
        <f>SUM(E47:E50)</f>
        <v>65643291</v>
      </c>
      <c r="F52" s="55">
        <f>F44+F51</f>
        <v>74433006</v>
      </c>
      <c r="G52" s="55">
        <f>G44+G51</f>
        <v>75747919</v>
      </c>
    </row>
    <row r="53" spans="1:7" ht="13.5" thickBot="1">
      <c r="A53" s="1" t="s">
        <v>139</v>
      </c>
      <c r="D53" s="7" t="e">
        <f>SUM(D14:D19)+#REF!</f>
        <v>#REF!</v>
      </c>
      <c r="E53" s="7" t="e">
        <f>SUM(E14:E19)+#REF!</f>
        <v>#REF!</v>
      </c>
      <c r="F53" s="57">
        <f>F39+F52</f>
        <v>156089215</v>
      </c>
      <c r="G53" s="57">
        <f>G39+G52</f>
        <v>138305814</v>
      </c>
    </row>
    <row r="54" spans="1:7" ht="13.5" thickTop="1">
      <c r="A54" s="1"/>
      <c r="D54" s="11"/>
      <c r="E54" s="11"/>
      <c r="F54" s="56"/>
      <c r="G54" s="56"/>
    </row>
    <row r="55" spans="4:7" ht="12.75">
      <c r="D55" s="11"/>
      <c r="E55" s="11"/>
      <c r="F55" s="56"/>
      <c r="G55" s="56"/>
    </row>
  </sheetData>
  <sheetProtection/>
  <printOptions horizontalCentered="1"/>
  <pageMargins left="0.5905511811023623" right="0.3937007874015748" top="1.1811023622047245" bottom="0.3937007874015748" header="0.5118110236220472" footer="0.5118110236220472"/>
  <pageSetup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G56"/>
  <sheetViews>
    <sheetView zoomScalePageLayoutView="0" workbookViewId="0" topLeftCell="A16">
      <selection activeCell="B29" sqref="B29"/>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12</v>
      </c>
      <c r="C4" s="43"/>
      <c r="D4" s="4"/>
      <c r="E4" s="4"/>
      <c r="F4" s="4"/>
    </row>
    <row r="5" spans="1:6" s="1" customFormat="1" ht="12.75">
      <c r="A5" s="1" t="s">
        <v>134</v>
      </c>
      <c r="C5" s="43"/>
      <c r="D5" s="4"/>
      <c r="E5" s="4"/>
      <c r="F5" s="4"/>
    </row>
    <row r="6" spans="1:7" s="1" customFormat="1" ht="12.75">
      <c r="A6" s="2" t="s">
        <v>2</v>
      </c>
      <c r="C6" s="43"/>
      <c r="D6" s="4"/>
      <c r="E6" s="4"/>
      <c r="F6" s="54"/>
      <c r="G6" s="43"/>
    </row>
    <row r="7" spans="4:7" ht="12.75">
      <c r="D7" s="5" t="s">
        <v>60</v>
      </c>
      <c r="E7" s="5" t="s">
        <v>60</v>
      </c>
      <c r="F7" s="5"/>
      <c r="G7" s="30" t="s">
        <v>120</v>
      </c>
    </row>
    <row r="8" spans="4:7" ht="12.75">
      <c r="D8" s="5" t="s">
        <v>58</v>
      </c>
      <c r="E8" s="5" t="s">
        <v>58</v>
      </c>
      <c r="F8" s="5" t="s">
        <v>58</v>
      </c>
      <c r="G8" s="30" t="s">
        <v>59</v>
      </c>
    </row>
    <row r="9" spans="3:7" ht="12.75">
      <c r="C9" s="30" t="s">
        <v>55</v>
      </c>
      <c r="D9" s="5" t="s">
        <v>102</v>
      </c>
      <c r="E9" s="5" t="s">
        <v>110</v>
      </c>
      <c r="F9" s="5" t="s">
        <v>133</v>
      </c>
      <c r="G9" s="30" t="s">
        <v>128</v>
      </c>
    </row>
    <row r="10" spans="4:7" ht="12.75">
      <c r="D10" s="5" t="s">
        <v>28</v>
      </c>
      <c r="E10" s="5" t="s">
        <v>28</v>
      </c>
      <c r="F10" s="5" t="s">
        <v>28</v>
      </c>
      <c r="G10" s="5" t="s">
        <v>28</v>
      </c>
    </row>
    <row r="11" spans="4:6" ht="12.75">
      <c r="D11" s="8"/>
      <c r="E11" s="8"/>
      <c r="F11" s="8"/>
    </row>
    <row r="12" spans="1:7" ht="12.75">
      <c r="A12" s="2" t="s">
        <v>13</v>
      </c>
      <c r="D12" s="3">
        <v>6287231</v>
      </c>
      <c r="E12" s="3">
        <v>6712693</v>
      </c>
      <c r="F12" s="42">
        <f>12591970-988533-444632</f>
        <v>11158805</v>
      </c>
      <c r="G12" s="42">
        <f>12848633-992914-479755</f>
        <v>11375964</v>
      </c>
    </row>
    <row r="13" spans="1:7" ht="12.75">
      <c r="A13" s="2" t="s">
        <v>136</v>
      </c>
      <c r="F13" s="42">
        <v>988533</v>
      </c>
      <c r="G13" s="42">
        <v>992914</v>
      </c>
    </row>
    <row r="14" spans="1:7" ht="12.75">
      <c r="A14" s="2" t="s">
        <v>151</v>
      </c>
      <c r="F14" s="42">
        <v>444632</v>
      </c>
      <c r="G14" s="42">
        <v>479755</v>
      </c>
    </row>
    <row r="15" spans="1:7" ht="12.75">
      <c r="A15" s="2" t="s">
        <v>116</v>
      </c>
      <c r="D15" s="3">
        <v>139121</v>
      </c>
      <c r="E15" s="3">
        <v>139121</v>
      </c>
      <c r="F15" s="42">
        <v>525045</v>
      </c>
      <c r="G15" s="42">
        <v>414149</v>
      </c>
    </row>
    <row r="16" spans="1:7" ht="12.75">
      <c r="A16" s="2" t="s">
        <v>132</v>
      </c>
      <c r="F16" s="42">
        <v>527919</v>
      </c>
      <c r="G16" s="42">
        <v>458179</v>
      </c>
    </row>
    <row r="17" spans="1:7" ht="12.75">
      <c r="A17" s="2" t="s">
        <v>53</v>
      </c>
      <c r="D17" s="3">
        <v>970000</v>
      </c>
      <c r="E17" s="3">
        <v>1000000</v>
      </c>
      <c r="F17" s="42">
        <v>1332000</v>
      </c>
      <c r="G17" s="42">
        <v>1341000</v>
      </c>
    </row>
    <row r="18" spans="6:7" ht="12.75">
      <c r="F18" s="42"/>
      <c r="G18" s="42"/>
    </row>
    <row r="19" spans="1:7" ht="12.75">
      <c r="A19" s="2" t="s">
        <v>14</v>
      </c>
      <c r="F19" s="42"/>
      <c r="G19" s="42"/>
    </row>
    <row r="20" spans="1:7" ht="12.75">
      <c r="A20" s="2" t="s">
        <v>15</v>
      </c>
      <c r="D20" s="3">
        <v>2904663</v>
      </c>
      <c r="E20" s="3">
        <v>2168835</v>
      </c>
      <c r="F20" s="42">
        <v>5407527</v>
      </c>
      <c r="G20" s="42">
        <v>5386059</v>
      </c>
    </row>
    <row r="21" spans="1:7" ht="12.75">
      <c r="A21" s="2" t="s">
        <v>16</v>
      </c>
      <c r="D21" s="3">
        <f>14168190+58610575</f>
        <v>72778765</v>
      </c>
      <c r="E21" s="3">
        <f>3468537+66150885</f>
        <v>69619422</v>
      </c>
      <c r="F21" s="42">
        <f>5445328+71782020</f>
        <v>77227348</v>
      </c>
      <c r="G21" s="42">
        <v>68274772</v>
      </c>
    </row>
    <row r="22" spans="1:7" ht="12.75">
      <c r="A22" s="2" t="s">
        <v>17</v>
      </c>
      <c r="D22" s="3">
        <v>1252119</v>
      </c>
      <c r="E22" s="3">
        <f>1136819+90000+181089</f>
        <v>1407908</v>
      </c>
      <c r="F22" s="42">
        <f>692786+465122</f>
        <v>1157908</v>
      </c>
      <c r="G22" s="42">
        <v>1656177</v>
      </c>
    </row>
    <row r="23" spans="1:7" ht="12.75">
      <c r="A23" s="2" t="s">
        <v>115</v>
      </c>
      <c r="D23" s="3">
        <v>7708450</v>
      </c>
      <c r="E23" s="3">
        <v>7618246</v>
      </c>
      <c r="F23" s="42">
        <v>5946546</v>
      </c>
      <c r="G23" s="42">
        <v>6112856</v>
      </c>
    </row>
    <row r="24" spans="1:7" ht="12.75">
      <c r="A24" s="2" t="s">
        <v>18</v>
      </c>
      <c r="D24" s="3">
        <v>2463427</v>
      </c>
      <c r="E24" s="3">
        <v>19174435</v>
      </c>
      <c r="F24" s="42">
        <v>6293643</v>
      </c>
      <c r="G24" s="42">
        <v>5243920</v>
      </c>
    </row>
    <row r="25" spans="4:7" ht="12.75">
      <c r="D25" s="9">
        <f>SUM(D20:D24)</f>
        <v>87107424</v>
      </c>
      <c r="E25" s="9">
        <f>SUM(E20:E24)</f>
        <v>99988846</v>
      </c>
      <c r="F25" s="55">
        <f>SUM(F20:F24)</f>
        <v>96032972</v>
      </c>
      <c r="G25" s="55">
        <f>SUM(G20:G24)</f>
        <v>86673784</v>
      </c>
    </row>
    <row r="26" spans="6:7" ht="12.75">
      <c r="F26" s="42"/>
      <c r="G26" s="42"/>
    </row>
    <row r="27" spans="1:7" ht="12.75">
      <c r="A27" s="2" t="s">
        <v>19</v>
      </c>
      <c r="F27" s="42"/>
      <c r="G27" s="42"/>
    </row>
    <row r="28" spans="1:7" ht="12.75">
      <c r="A28" s="2" t="s">
        <v>20</v>
      </c>
      <c r="D28" s="3">
        <f>39708627+3055518</f>
        <v>42764145</v>
      </c>
      <c r="E28" s="3">
        <v>40880605</v>
      </c>
      <c r="F28" s="42">
        <f>44610973+4586931</f>
        <v>49197904</v>
      </c>
      <c r="G28" s="42">
        <v>39835089</v>
      </c>
    </row>
    <row r="29" spans="1:7" ht="12.75">
      <c r="A29" s="2" t="s">
        <v>21</v>
      </c>
      <c r="D29" s="3">
        <f>8384266+1738663-75000</f>
        <v>10047929</v>
      </c>
      <c r="E29" s="3">
        <f>8495411+2979531+539058</f>
        <v>12014000</v>
      </c>
      <c r="F29" s="42">
        <v>3909210</v>
      </c>
      <c r="G29" s="42">
        <v>4658728</v>
      </c>
    </row>
    <row r="30" spans="1:7" ht="12.75">
      <c r="A30" s="2" t="s">
        <v>22</v>
      </c>
      <c r="C30" s="30">
        <v>25</v>
      </c>
      <c r="D30" s="3">
        <v>10905554</v>
      </c>
      <c r="E30" s="3">
        <v>8890984</v>
      </c>
      <c r="F30" s="42">
        <v>1703000</v>
      </c>
      <c r="G30" s="42">
        <v>3108818</v>
      </c>
    </row>
    <row r="31" spans="1:7" ht="12.75">
      <c r="A31" s="2" t="s">
        <v>23</v>
      </c>
      <c r="D31" s="3">
        <v>4737823</v>
      </c>
      <c r="E31" s="3">
        <v>3857702</v>
      </c>
      <c r="F31" s="42">
        <v>1373461</v>
      </c>
      <c r="G31" s="42">
        <v>1181000</v>
      </c>
    </row>
    <row r="32" spans="4:7" ht="12.75">
      <c r="D32" s="9">
        <f>SUM(D28:D31)</f>
        <v>68455451</v>
      </c>
      <c r="E32" s="9">
        <f>SUM(E28:E31)</f>
        <v>65643291</v>
      </c>
      <c r="F32" s="55">
        <f>SUM(F28:F31)</f>
        <v>56183575</v>
      </c>
      <c r="G32" s="55">
        <f>SUM(G28:G31)</f>
        <v>48783635</v>
      </c>
    </row>
    <row r="33" spans="1:7" ht="12.75">
      <c r="A33" s="2" t="s">
        <v>146</v>
      </c>
      <c r="D33" s="9">
        <f>D25-D32</f>
        <v>18651973</v>
      </c>
      <c r="E33" s="9">
        <f>E25-E32</f>
        <v>34345555</v>
      </c>
      <c r="F33" s="55">
        <f>F25-F32</f>
        <v>39849397</v>
      </c>
      <c r="G33" s="55">
        <f>G25-G32</f>
        <v>37890149</v>
      </c>
    </row>
    <row r="34" spans="4:7" ht="12.75">
      <c r="D34" s="11"/>
      <c r="E34" s="11"/>
      <c r="F34" s="56"/>
      <c r="G34" s="56"/>
    </row>
    <row r="35" spans="4:7" ht="13.5" thickBot="1">
      <c r="D35" s="7">
        <f>SUM(D12:D17)+D33</f>
        <v>26048325</v>
      </c>
      <c r="E35" s="7">
        <f>SUM(E12:E17)+E33</f>
        <v>42197369</v>
      </c>
      <c r="F35" s="57">
        <f>SUM(F12:F17)+F33</f>
        <v>54826331</v>
      </c>
      <c r="G35" s="57">
        <f>SUM(G12:G17)+G33</f>
        <v>52952110</v>
      </c>
    </row>
    <row r="36" spans="6:7" ht="13.5" thickTop="1">
      <c r="F36" s="42"/>
      <c r="G36" s="42"/>
    </row>
    <row r="37" spans="1:7" ht="12.75">
      <c r="A37" s="2" t="s">
        <v>147</v>
      </c>
      <c r="F37" s="42"/>
      <c r="G37" s="42"/>
    </row>
    <row r="38" spans="1:7" ht="12.75">
      <c r="A38" s="2" t="s">
        <v>24</v>
      </c>
      <c r="D38" s="3">
        <v>21254000</v>
      </c>
      <c r="E38" s="3">
        <v>28354000</v>
      </c>
      <c r="F38" s="42">
        <v>28354000</v>
      </c>
      <c r="G38" s="42">
        <v>28354000</v>
      </c>
    </row>
    <row r="39" spans="1:7" ht="12.75">
      <c r="A39" s="2" t="s">
        <v>112</v>
      </c>
      <c r="D39" s="3">
        <v>0</v>
      </c>
      <c r="E39" s="3">
        <v>6433824</v>
      </c>
      <c r="F39" s="42">
        <v>6406222</v>
      </c>
      <c r="G39" s="42">
        <v>6406222</v>
      </c>
    </row>
    <row r="40" spans="1:7" ht="12.75">
      <c r="A40" s="2" t="s">
        <v>150</v>
      </c>
      <c r="F40" s="42">
        <v>-85789</v>
      </c>
      <c r="G40" s="42">
        <v>83729</v>
      </c>
    </row>
    <row r="41" spans="1:7" ht="12.75">
      <c r="A41" s="2" t="s">
        <v>121</v>
      </c>
      <c r="D41" s="6">
        <v>434293</v>
      </c>
      <c r="E41" s="6">
        <v>3120474</v>
      </c>
      <c r="F41" s="58">
        <v>20151898</v>
      </c>
      <c r="G41" s="58">
        <v>18108159</v>
      </c>
    </row>
    <row r="42" spans="1:7" ht="12.75">
      <c r="A42" s="2" t="s">
        <v>125</v>
      </c>
      <c r="D42" s="3">
        <f>SUM(D38:D41)</f>
        <v>21688293</v>
      </c>
      <c r="E42" s="3">
        <f>SUM(E38:E41)</f>
        <v>37908298</v>
      </c>
      <c r="F42" s="42">
        <f>SUM(F38:F41)</f>
        <v>54826331</v>
      </c>
      <c r="G42" s="42">
        <f>SUM(G38:G41)</f>
        <v>52952110</v>
      </c>
    </row>
    <row r="43" spans="6:7" ht="13.5" thickBot="1">
      <c r="F43" s="59">
        <f>SUM(F42:F42)</f>
        <v>54826331</v>
      </c>
      <c r="G43" s="59">
        <f>SUM(G42:G42)</f>
        <v>52952110</v>
      </c>
    </row>
    <row r="44" spans="6:7" ht="13.5" thickTop="1">
      <c r="F44" s="42"/>
      <c r="G44" s="42"/>
    </row>
    <row r="45" spans="1:7" ht="12.75">
      <c r="A45" s="24"/>
      <c r="B45" s="24"/>
      <c r="C45" s="35"/>
      <c r="D45" s="11"/>
      <c r="E45" s="11"/>
      <c r="F45" s="56">
        <f>F35-F43</f>
        <v>0</v>
      </c>
      <c r="G45" s="56">
        <f>G35-G43</f>
        <v>0</v>
      </c>
    </row>
    <row r="46" spans="1:7" ht="12.75">
      <c r="A46" s="24"/>
      <c r="B46" s="24"/>
      <c r="C46" s="35"/>
      <c r="D46" s="11"/>
      <c r="E46" s="11"/>
      <c r="F46" s="56"/>
      <c r="G46" s="56"/>
    </row>
    <row r="47" spans="1:7" ht="12.75" hidden="1">
      <c r="A47" s="24"/>
      <c r="B47" s="24"/>
      <c r="C47" s="35"/>
      <c r="D47" s="11"/>
      <c r="E47" s="11"/>
      <c r="F47" s="56"/>
      <c r="G47" s="56"/>
    </row>
    <row r="48" spans="1:7" ht="12.75">
      <c r="A48" s="24"/>
      <c r="B48" s="24"/>
      <c r="C48" s="35"/>
      <c r="D48" s="11"/>
      <c r="E48" s="11"/>
      <c r="F48" s="56"/>
      <c r="G48" s="56"/>
    </row>
    <row r="49" spans="1:7" ht="12.75">
      <c r="A49" s="24"/>
      <c r="B49" s="24"/>
      <c r="C49" s="35"/>
      <c r="D49" s="11"/>
      <c r="E49" s="11"/>
      <c r="F49" s="56"/>
      <c r="G49" s="56"/>
    </row>
    <row r="50" spans="4:7" ht="12.75">
      <c r="D50" s="11"/>
      <c r="E50" s="11"/>
      <c r="F50" s="72"/>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9"/>
  <sheetViews>
    <sheetView view="pageBreakPreview" zoomScaleSheetLayoutView="100" zoomScalePageLayoutView="0" workbookViewId="0" topLeftCell="A25">
      <selection activeCell="I41" sqref="I41"/>
    </sheetView>
  </sheetViews>
  <sheetFormatPr defaultColWidth="9.140625" defaultRowHeight="12.75"/>
  <cols>
    <col min="1" max="1" width="2.140625" style="0" customWidth="1"/>
    <col min="2" max="2" width="32.421875" style="0" bestFit="1" customWidth="1"/>
    <col min="3" max="3" width="1.57421875" style="0" customWidth="1"/>
    <col min="4" max="4" width="11.28125" style="12" bestFit="1" customWidth="1"/>
    <col min="5" max="5" width="11.8515625" style="12" bestFit="1" customWidth="1"/>
    <col min="6" max="6" width="11.140625" style="12" bestFit="1" customWidth="1"/>
    <col min="7" max="8" width="11.8515625" style="0" bestFit="1" customWidth="1"/>
    <col min="9" max="9" width="10.28125" style="0" bestFit="1" customWidth="1"/>
    <col min="10" max="10" width="11.8515625" style="0" bestFit="1"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25</v>
      </c>
      <c r="D4" s="4"/>
      <c r="E4" s="4"/>
      <c r="F4" s="4"/>
    </row>
    <row r="5" spans="1:6" s="1" customFormat="1" ht="12.75">
      <c r="A5" s="1" t="s">
        <v>235</v>
      </c>
      <c r="D5" s="4"/>
      <c r="E5" s="4"/>
      <c r="F5" s="4"/>
    </row>
    <row r="6" spans="1:6" s="2" customFormat="1" ht="12.75">
      <c r="A6" s="2" t="s">
        <v>2</v>
      </c>
      <c r="D6" s="3"/>
      <c r="E6" s="3"/>
      <c r="F6" s="3"/>
    </row>
    <row r="7" spans="4:6" s="2" customFormat="1" ht="12.75">
      <c r="D7" s="3"/>
      <c r="E7" s="3"/>
      <c r="F7" s="3"/>
    </row>
    <row r="8" spans="2:8" s="2" customFormat="1" ht="12.75">
      <c r="B8" s="38"/>
      <c r="C8" s="38"/>
      <c r="D8" s="90"/>
      <c r="E8" s="90"/>
      <c r="F8" s="90"/>
      <c r="G8" s="38"/>
      <c r="H8" s="38"/>
    </row>
    <row r="9" spans="2:10" s="2" customFormat="1" ht="12.75">
      <c r="B9" s="38"/>
      <c r="C9" s="38"/>
      <c r="D9" s="115" t="s">
        <v>170</v>
      </c>
      <c r="E9" s="115"/>
      <c r="F9" s="115"/>
      <c r="G9" s="115"/>
      <c r="H9" s="115"/>
      <c r="I9" s="43" t="s">
        <v>171</v>
      </c>
      <c r="J9" s="43" t="s">
        <v>173</v>
      </c>
    </row>
    <row r="10" spans="2:10" ht="12.75">
      <c r="B10" s="91"/>
      <c r="C10" s="91"/>
      <c r="D10" s="92"/>
      <c r="E10" s="92"/>
      <c r="F10" s="92"/>
      <c r="G10" s="91"/>
      <c r="H10" s="91"/>
      <c r="I10" s="43" t="s">
        <v>172</v>
      </c>
      <c r="J10" s="43" t="s">
        <v>174</v>
      </c>
    </row>
    <row r="11" spans="4:8" ht="12.75">
      <c r="D11" s="54" t="s">
        <v>26</v>
      </c>
      <c r="E11" s="54" t="s">
        <v>26</v>
      </c>
      <c r="F11" s="54" t="s">
        <v>149</v>
      </c>
      <c r="G11" s="43" t="s">
        <v>167</v>
      </c>
      <c r="H11" s="43"/>
    </row>
    <row r="12" spans="3:8" ht="12.75">
      <c r="C12" s="13"/>
      <c r="D12" s="54" t="s">
        <v>98</v>
      </c>
      <c r="E12" s="54" t="s">
        <v>101</v>
      </c>
      <c r="F12" s="54" t="s">
        <v>129</v>
      </c>
      <c r="G12" s="43" t="s">
        <v>166</v>
      </c>
      <c r="H12" s="43" t="s">
        <v>27</v>
      </c>
    </row>
    <row r="13" spans="4:10" ht="12.75">
      <c r="D13" s="54" t="s">
        <v>28</v>
      </c>
      <c r="E13" s="54" t="s">
        <v>28</v>
      </c>
      <c r="F13" s="54" t="s">
        <v>28</v>
      </c>
      <c r="G13" s="43" t="s">
        <v>28</v>
      </c>
      <c r="H13" s="43" t="s">
        <v>28</v>
      </c>
      <c r="I13" s="43" t="s">
        <v>28</v>
      </c>
      <c r="J13" s="43" t="s">
        <v>28</v>
      </c>
    </row>
    <row r="15" spans="1:10" ht="12.75">
      <c r="A15" t="s">
        <v>148</v>
      </c>
      <c r="D15" s="12">
        <v>28354000</v>
      </c>
      <c r="E15" s="12">
        <v>6406222</v>
      </c>
      <c r="F15" s="12">
        <v>83729</v>
      </c>
      <c r="G15" s="12">
        <v>18108159</v>
      </c>
      <c r="H15" s="14">
        <f>SUM(D15:G15)</f>
        <v>52952110</v>
      </c>
      <c r="I15" s="12">
        <v>0</v>
      </c>
      <c r="J15" s="14">
        <f>H15+I15</f>
        <v>52952110</v>
      </c>
    </row>
    <row r="16" spans="7:8" ht="12.75">
      <c r="G16" s="12"/>
      <c r="H16" s="14"/>
    </row>
    <row r="17" spans="1:10" ht="12.75">
      <c r="A17" t="s">
        <v>130</v>
      </c>
      <c r="D17" s="12">
        <v>0</v>
      </c>
      <c r="E17" s="12">
        <v>0</v>
      </c>
      <c r="F17" s="12">
        <v>-135498</v>
      </c>
      <c r="G17" s="12">
        <v>0</v>
      </c>
      <c r="H17" s="14">
        <f>SUM(D17:G17)</f>
        <v>-135498</v>
      </c>
      <c r="I17" s="12">
        <v>0</v>
      </c>
      <c r="J17" s="14">
        <f>H17+I17</f>
        <v>-135498</v>
      </c>
    </row>
    <row r="18" spans="7:10" ht="12.75">
      <c r="G18" s="12"/>
      <c r="H18" s="14"/>
      <c r="I18" s="12"/>
      <c r="J18" s="14"/>
    </row>
    <row r="19" spans="1:10" ht="12.75">
      <c r="A19" t="s">
        <v>202</v>
      </c>
      <c r="G19" s="12"/>
      <c r="H19" s="14"/>
      <c r="I19" s="12"/>
      <c r="J19" s="14"/>
    </row>
    <row r="20" spans="2:10" ht="12.75">
      <c r="B20" t="s">
        <v>203</v>
      </c>
      <c r="D20" s="12">
        <v>0</v>
      </c>
      <c r="E20" s="12">
        <v>0</v>
      </c>
      <c r="F20" s="12">
        <v>0</v>
      </c>
      <c r="G20" s="12">
        <v>0</v>
      </c>
      <c r="H20" s="14">
        <f>SUM(D20:G20)</f>
        <v>0</v>
      </c>
      <c r="I20" s="12">
        <v>1325155</v>
      </c>
      <c r="J20" s="14">
        <f>H20+I20</f>
        <v>1325155</v>
      </c>
    </row>
    <row r="21" spans="7:10" ht="12.75">
      <c r="G21" s="12"/>
      <c r="H21" s="14"/>
      <c r="I21" s="12"/>
      <c r="J21" s="14"/>
    </row>
    <row r="22" spans="1:10" ht="12.75">
      <c r="A22" t="s">
        <v>238</v>
      </c>
      <c r="D22" s="12">
        <v>0</v>
      </c>
      <c r="E22" s="12">
        <v>0</v>
      </c>
      <c r="F22" s="12">
        <v>0</v>
      </c>
      <c r="G22" s="3">
        <f>PL!H40</f>
        <v>9214592</v>
      </c>
      <c r="H22" s="14">
        <f>SUM(D22:G22)</f>
        <v>9214592</v>
      </c>
      <c r="I22" s="12">
        <f>PL!H42</f>
        <v>-186017</v>
      </c>
      <c r="J22" s="14">
        <f>H22+I22</f>
        <v>9028575</v>
      </c>
    </row>
    <row r="23" spans="7:10" ht="12.75">
      <c r="G23" s="3"/>
      <c r="H23" s="14"/>
      <c r="I23" s="12"/>
      <c r="J23" s="14"/>
    </row>
    <row r="24" spans="1:10" ht="12.75">
      <c r="A24" t="s">
        <v>224</v>
      </c>
      <c r="D24" s="12">
        <v>0</v>
      </c>
      <c r="E24" s="12">
        <v>0</v>
      </c>
      <c r="F24" s="12">
        <v>0</v>
      </c>
      <c r="G24" s="3">
        <v>-612447</v>
      </c>
      <c r="H24" s="14">
        <f>SUM(D24:G24)</f>
        <v>-612447</v>
      </c>
      <c r="I24" s="12">
        <v>0</v>
      </c>
      <c r="J24" s="14">
        <f>H24+I24</f>
        <v>-612447</v>
      </c>
    </row>
    <row r="25" ht="12.75">
      <c r="G25" s="12"/>
    </row>
    <row r="26" spans="1:10" ht="13.5" thickBot="1">
      <c r="A26" t="s">
        <v>237</v>
      </c>
      <c r="D26" s="15">
        <f aca="true" t="shared" si="0" ref="D26:J26">SUM(D15:D25)</f>
        <v>28354000</v>
      </c>
      <c r="E26" s="15">
        <f t="shared" si="0"/>
        <v>6406222</v>
      </c>
      <c r="F26" s="15">
        <f t="shared" si="0"/>
        <v>-51769</v>
      </c>
      <c r="G26" s="15">
        <f t="shared" si="0"/>
        <v>26710304</v>
      </c>
      <c r="H26" s="15">
        <f t="shared" si="0"/>
        <v>61418757</v>
      </c>
      <c r="I26" s="93">
        <f t="shared" si="0"/>
        <v>1139138</v>
      </c>
      <c r="J26" s="93">
        <f t="shared" si="0"/>
        <v>62557895</v>
      </c>
    </row>
    <row r="27" spans="4:8" ht="13.5" thickTop="1">
      <c r="D27" s="70"/>
      <c r="E27" s="70"/>
      <c r="F27" s="70"/>
      <c r="G27" s="70"/>
      <c r="H27" s="70"/>
    </row>
    <row r="28" spans="4:8" ht="12.75">
      <c r="D28" s="70"/>
      <c r="E28" s="70"/>
      <c r="F28" s="70"/>
      <c r="G28" s="70"/>
      <c r="H28" s="70"/>
    </row>
    <row r="30" spans="1:10" ht="12.75">
      <c r="A30" t="s">
        <v>180</v>
      </c>
      <c r="D30" s="12">
        <v>28354000</v>
      </c>
      <c r="E30" s="12">
        <v>6406222</v>
      </c>
      <c r="F30" s="12">
        <v>-51769</v>
      </c>
      <c r="G30" s="12">
        <v>26710304</v>
      </c>
      <c r="H30" s="14">
        <f>SUM(D30:G30)</f>
        <v>61418757</v>
      </c>
      <c r="I30" s="12">
        <v>1139138</v>
      </c>
      <c r="J30" s="14">
        <f>H30+I30</f>
        <v>62557895</v>
      </c>
    </row>
    <row r="31" spans="7:10" ht="12.75">
      <c r="G31" s="12"/>
      <c r="H31" s="14"/>
      <c r="I31" s="12"/>
      <c r="J31" s="14"/>
    </row>
    <row r="32" spans="1:10" ht="12.75">
      <c r="A32" t="s">
        <v>210</v>
      </c>
      <c r="G32" s="12"/>
      <c r="H32" s="14"/>
      <c r="I32" s="12"/>
      <c r="J32" s="14"/>
    </row>
    <row r="33" spans="2:10" ht="12.75">
      <c r="B33" t="s">
        <v>211</v>
      </c>
      <c r="D33" s="12">
        <v>1225000</v>
      </c>
      <c r="E33" s="12">
        <v>3920000</v>
      </c>
      <c r="F33" s="12">
        <v>0</v>
      </c>
      <c r="G33" s="12">
        <v>0</v>
      </c>
      <c r="H33" s="14">
        <f>SUM(D33:G33)</f>
        <v>5145000</v>
      </c>
      <c r="I33" s="12">
        <v>0</v>
      </c>
      <c r="J33" s="14">
        <f>H33+I33</f>
        <v>5145000</v>
      </c>
    </row>
    <row r="34" spans="2:10" ht="12.75">
      <c r="B34" t="s">
        <v>212</v>
      </c>
      <c r="G34" s="12"/>
      <c r="H34" s="14"/>
      <c r="I34" s="12"/>
      <c r="J34" s="14"/>
    </row>
    <row r="35" spans="2:10" ht="12.75">
      <c r="B35" t="s">
        <v>217</v>
      </c>
      <c r="D35" s="12">
        <f>2304147+2304147</f>
        <v>4608294</v>
      </c>
      <c r="E35" s="12">
        <f>4608295+4608295</f>
        <v>9216590</v>
      </c>
      <c r="F35" s="12">
        <v>0</v>
      </c>
      <c r="G35" s="12">
        <v>0</v>
      </c>
      <c r="H35" s="14">
        <f>SUM(D35:G35)</f>
        <v>13824884</v>
      </c>
      <c r="I35" s="12">
        <v>0</v>
      </c>
      <c r="J35" s="14">
        <f>H35+I35</f>
        <v>13824884</v>
      </c>
    </row>
    <row r="36" spans="2:10" ht="12.75">
      <c r="B36" t="s">
        <v>225</v>
      </c>
      <c r="D36" s="12">
        <v>29303396</v>
      </c>
      <c r="E36" s="12">
        <f>-18706151+8250</f>
        <v>-18697901</v>
      </c>
      <c r="F36" s="12">
        <v>0</v>
      </c>
      <c r="G36" s="12">
        <v>-10605495</v>
      </c>
      <c r="H36" s="14">
        <f>SUM(D36:G36)</f>
        <v>0</v>
      </c>
      <c r="I36" s="12">
        <v>0</v>
      </c>
      <c r="J36" s="14">
        <f>H36+I36</f>
        <v>0</v>
      </c>
    </row>
    <row r="37" spans="7:10" ht="12.75">
      <c r="G37" s="12"/>
      <c r="H37" s="14"/>
      <c r="I37" s="12"/>
      <c r="J37" s="14"/>
    </row>
    <row r="38" spans="1:10" ht="12.75">
      <c r="A38" t="s">
        <v>214</v>
      </c>
      <c r="D38" s="12">
        <v>0</v>
      </c>
      <c r="E38" s="12">
        <f>-836661-8250</f>
        <v>-844911</v>
      </c>
      <c r="F38" s="12">
        <v>0</v>
      </c>
      <c r="G38" s="12">
        <v>0</v>
      </c>
      <c r="H38" s="14">
        <f>SUM(D38:G38)</f>
        <v>-844911</v>
      </c>
      <c r="I38" s="12">
        <v>0</v>
      </c>
      <c r="J38" s="14">
        <f>H38+I38</f>
        <v>-844911</v>
      </c>
    </row>
    <row r="39" spans="7:8" ht="12.75">
      <c r="G39" s="12"/>
      <c r="H39" s="14"/>
    </row>
    <row r="40" spans="1:10" ht="12.75">
      <c r="A40" t="s">
        <v>130</v>
      </c>
      <c r="D40" s="12">
        <v>0</v>
      </c>
      <c r="E40" s="12">
        <v>0</v>
      </c>
      <c r="F40" s="12">
        <v>306283</v>
      </c>
      <c r="G40" s="12">
        <v>0</v>
      </c>
      <c r="H40" s="14">
        <f>SUM(D40:G40)</f>
        <v>306283</v>
      </c>
      <c r="I40" s="12">
        <v>16976</v>
      </c>
      <c r="J40" s="14">
        <f>H40+I40</f>
        <v>323259</v>
      </c>
    </row>
    <row r="41" spans="7:10" ht="12.75">
      <c r="G41" s="12"/>
      <c r="H41" s="14"/>
      <c r="I41" s="12"/>
      <c r="J41" s="14"/>
    </row>
    <row r="42" spans="1:10" ht="12.75">
      <c r="A42" t="s">
        <v>202</v>
      </c>
      <c r="G42" s="12"/>
      <c r="H42" s="14"/>
      <c r="I42" s="12"/>
      <c r="J42" s="14"/>
    </row>
    <row r="43" spans="2:10" ht="12.75">
      <c r="B43" t="s">
        <v>215</v>
      </c>
      <c r="D43" s="12">
        <v>0</v>
      </c>
      <c r="E43" s="12">
        <v>0</v>
      </c>
      <c r="F43" s="12">
        <v>0</v>
      </c>
      <c r="G43" s="12">
        <v>0</v>
      </c>
      <c r="H43" s="14">
        <f>SUM(D43:G43)</f>
        <v>0</v>
      </c>
      <c r="I43" s="12">
        <v>238578</v>
      </c>
      <c r="J43" s="14">
        <f>H43+I43</f>
        <v>238578</v>
      </c>
    </row>
    <row r="44" spans="7:10" ht="12.75">
      <c r="G44" s="12"/>
      <c r="H44" s="14"/>
      <c r="I44" s="12"/>
      <c r="J44" s="14"/>
    </row>
    <row r="45" spans="1:10" ht="12.75">
      <c r="A45" t="s">
        <v>238</v>
      </c>
      <c r="D45" s="12">
        <v>0</v>
      </c>
      <c r="E45" s="12">
        <v>0</v>
      </c>
      <c r="F45" s="12">
        <v>0</v>
      </c>
      <c r="G45" s="3">
        <f>PL!G40</f>
        <v>985821</v>
      </c>
      <c r="H45" s="14">
        <f>SUM(D45:G45)</f>
        <v>985821</v>
      </c>
      <c r="I45" s="12">
        <f>PL!G42</f>
        <v>-574317</v>
      </c>
      <c r="J45" s="14">
        <f>H45+I45</f>
        <v>411504</v>
      </c>
    </row>
    <row r="46" spans="7:8" ht="12.75">
      <c r="G46" s="3"/>
      <c r="H46" s="14"/>
    </row>
    <row r="47" spans="1:10" ht="13.5" thickBot="1">
      <c r="A47" t="s">
        <v>239</v>
      </c>
      <c r="D47" s="15">
        <f aca="true" t="shared" si="1" ref="D47:I47">SUM(D30:D46)</f>
        <v>63490690</v>
      </c>
      <c r="E47" s="15">
        <f t="shared" si="1"/>
        <v>0</v>
      </c>
      <c r="F47" s="15">
        <f t="shared" si="1"/>
        <v>254514</v>
      </c>
      <c r="G47" s="15">
        <f t="shared" si="1"/>
        <v>17090630</v>
      </c>
      <c r="H47" s="15">
        <f t="shared" si="1"/>
        <v>80835834</v>
      </c>
      <c r="I47" s="10">
        <f t="shared" si="1"/>
        <v>820375</v>
      </c>
      <c r="J47" s="15">
        <f>SUM(J30:J46)</f>
        <v>81656209</v>
      </c>
    </row>
    <row r="48" ht="13.5" thickTop="1"/>
    <row r="49" ht="12.75">
      <c r="I49" s="14"/>
    </row>
  </sheetData>
  <sheetProtection/>
  <mergeCells count="1">
    <mergeCell ref="D9:H9"/>
  </mergeCells>
  <printOptions horizontalCentered="1"/>
  <pageMargins left="0.5511811023622047" right="0.3937007874015748" top="1.1811023622047245" bottom="0.3937007874015748" header="0.5118110236220472" footer="0.5118110236220472"/>
  <pageSetup orientation="portrait" paperSize="9" scale="82" r:id="rId2"/>
  <drawing r:id="rId1"/>
</worksheet>
</file>

<file path=xl/worksheets/sheet6.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7">
      <selection activeCell="G33" sqref="G33"/>
    </sheetView>
  </sheetViews>
  <sheetFormatPr defaultColWidth="9.140625" defaultRowHeight="12.75"/>
  <cols>
    <col min="1" max="1" width="9.140625" style="2" customWidth="1"/>
    <col min="2" max="2" width="52.00390625" style="2" customWidth="1"/>
    <col min="3" max="3" width="13.7109375" style="3" hidden="1" customWidth="1"/>
    <col min="4" max="4" width="2.00390625" style="3" hidden="1" customWidth="1"/>
    <col min="5" max="5" width="13.7109375" style="3" hidden="1" customWidth="1"/>
    <col min="6" max="6" width="2.00390625" style="3" hidden="1" customWidth="1"/>
    <col min="7" max="7" width="15.57421875" style="3" customWidth="1"/>
    <col min="8" max="8" width="2.00390625" style="3" customWidth="1"/>
    <col min="9" max="9" width="15.28125" style="3" customWidth="1"/>
    <col min="10" max="16384" width="9.140625" style="2" customWidth="1"/>
  </cols>
  <sheetData>
    <row r="1" ht="12.75">
      <c r="A1" s="1" t="s">
        <v>0</v>
      </c>
    </row>
    <row r="2" ht="12.75">
      <c r="A2" s="2" t="s">
        <v>1</v>
      </c>
    </row>
    <row r="4" spans="1:9" s="1" customFormat="1" ht="12.75">
      <c r="A4" s="1" t="s">
        <v>219</v>
      </c>
      <c r="C4" s="4"/>
      <c r="D4" s="4"/>
      <c r="E4" s="4"/>
      <c r="F4" s="4"/>
      <c r="G4" s="4"/>
      <c r="H4" s="4"/>
      <c r="I4" s="4"/>
    </row>
    <row r="5" spans="1:9" s="1" customFormat="1" ht="12.75">
      <c r="A5" s="1" t="s">
        <v>235</v>
      </c>
      <c r="C5" s="4"/>
      <c r="D5" s="4"/>
      <c r="E5" s="4"/>
      <c r="F5" s="4"/>
      <c r="G5" s="4"/>
      <c r="H5" s="4"/>
      <c r="I5" s="4"/>
    </row>
    <row r="6" ht="12.75">
      <c r="A6" s="2" t="s">
        <v>2</v>
      </c>
    </row>
    <row r="7" spans="3:9" ht="12.75">
      <c r="C7" s="116" t="s">
        <v>54</v>
      </c>
      <c r="D7" s="116"/>
      <c r="E7" s="116"/>
      <c r="F7" s="5"/>
      <c r="G7" s="114" t="s">
        <v>240</v>
      </c>
      <c r="H7" s="114"/>
      <c r="I7" s="114"/>
    </row>
    <row r="8" spans="3:9" ht="12.75">
      <c r="C8" s="5" t="s">
        <v>9</v>
      </c>
      <c r="D8" s="5"/>
      <c r="E8" s="5" t="s">
        <v>104</v>
      </c>
      <c r="F8" s="5"/>
      <c r="G8" s="54" t="s">
        <v>236</v>
      </c>
      <c r="H8" s="54"/>
      <c r="I8" s="54" t="s">
        <v>178</v>
      </c>
    </row>
    <row r="9" spans="3:9" ht="12.75">
      <c r="C9" s="5"/>
      <c r="D9" s="5"/>
      <c r="E9" s="5"/>
      <c r="F9" s="5"/>
      <c r="G9" s="54"/>
      <c r="H9" s="54"/>
      <c r="I9" s="54"/>
    </row>
    <row r="10" spans="3:9" ht="12.75">
      <c r="C10" s="5" t="s">
        <v>28</v>
      </c>
      <c r="D10" s="5"/>
      <c r="E10" s="5" t="s">
        <v>28</v>
      </c>
      <c r="F10" s="5"/>
      <c r="G10" s="54" t="s">
        <v>28</v>
      </c>
      <c r="H10" s="54"/>
      <c r="I10" s="54" t="s">
        <v>28</v>
      </c>
    </row>
    <row r="11" spans="3:9" ht="12.75">
      <c r="C11" s="5"/>
      <c r="D11" s="5"/>
      <c r="E11" s="5" t="s">
        <v>103</v>
      </c>
      <c r="F11" s="5"/>
      <c r="G11" s="5"/>
      <c r="H11" s="5"/>
      <c r="I11" s="5"/>
    </row>
    <row r="12" spans="1:9" ht="12.75">
      <c r="A12" s="2" t="s">
        <v>44</v>
      </c>
      <c r="C12" s="3">
        <v>-1719211</v>
      </c>
      <c r="E12" s="3">
        <v>0</v>
      </c>
      <c r="G12" s="3">
        <v>-8145894</v>
      </c>
      <c r="I12" s="3">
        <v>1223657</v>
      </c>
    </row>
    <row r="14" spans="1:9" ht="12.75">
      <c r="A14" s="2" t="s">
        <v>45</v>
      </c>
      <c r="C14" s="3">
        <v>-213176</v>
      </c>
      <c r="E14" s="3">
        <v>0</v>
      </c>
      <c r="G14" s="3">
        <v>-3132665</v>
      </c>
      <c r="I14" s="3">
        <v>-1086139</v>
      </c>
    </row>
    <row r="16" spans="1:9" ht="12.75">
      <c r="A16" s="2" t="s">
        <v>46</v>
      </c>
      <c r="C16" s="6">
        <v>3492568</v>
      </c>
      <c r="E16" s="6">
        <v>0</v>
      </c>
      <c r="F16" s="6"/>
      <c r="G16" s="6">
        <v>6717563</v>
      </c>
      <c r="I16" s="6">
        <v>-22600</v>
      </c>
    </row>
    <row r="18" spans="1:9" ht="12.75">
      <c r="A18" s="2" t="s">
        <v>47</v>
      </c>
      <c r="C18" s="3">
        <f>SUM(C12:C16)</f>
        <v>1560181</v>
      </c>
      <c r="E18" s="3">
        <v>0</v>
      </c>
      <c r="G18" s="3">
        <f>SUM(G12:G16)</f>
        <v>-4560996</v>
      </c>
      <c r="I18" s="3">
        <f>SUM(I12:I16)</f>
        <v>114918</v>
      </c>
    </row>
    <row r="20" spans="1:9" ht="12.75">
      <c r="A20" s="2" t="s">
        <v>248</v>
      </c>
      <c r="G20" s="3">
        <v>79424</v>
      </c>
      <c r="I20" s="3">
        <v>29522</v>
      </c>
    </row>
    <row r="22" spans="1:9" ht="12.75">
      <c r="A22" s="2" t="s">
        <v>241</v>
      </c>
      <c r="C22" s="3">
        <v>162556</v>
      </c>
      <c r="E22" s="3">
        <v>0</v>
      </c>
      <c r="G22" s="3">
        <v>3876042</v>
      </c>
      <c r="I22" s="3">
        <v>3731602</v>
      </c>
    </row>
    <row r="24" spans="1:9" ht="13.5" thickBot="1">
      <c r="A24" s="2" t="s">
        <v>242</v>
      </c>
      <c r="C24" s="10">
        <f>SUM(C18:C22)</f>
        <v>1722737</v>
      </c>
      <c r="E24" s="10">
        <v>0</v>
      </c>
      <c r="F24" s="10"/>
      <c r="G24" s="10">
        <f>SUM(G18:G22)</f>
        <v>-605530</v>
      </c>
      <c r="I24" s="10">
        <f>SUM(I18:I22)</f>
        <v>3876042</v>
      </c>
    </row>
    <row r="25" ht="13.5" thickTop="1"/>
    <row r="26" ht="12.75" hidden="1"/>
    <row r="27" ht="12.75" hidden="1">
      <c r="A27" s="2" t="s">
        <v>61</v>
      </c>
    </row>
    <row r="28" ht="12.75" hidden="1"/>
    <row r="29" spans="1:9" ht="12.75" hidden="1">
      <c r="A29" s="2" t="s">
        <v>50</v>
      </c>
      <c r="C29" s="3">
        <v>2463427</v>
      </c>
      <c r="E29" s="3">
        <v>0</v>
      </c>
      <c r="G29" s="3" t="e">
        <f>#REF!</f>
        <v>#REF!</v>
      </c>
      <c r="I29" s="3">
        <v>13560595</v>
      </c>
    </row>
    <row r="30" spans="1:9" ht="12.75" hidden="1">
      <c r="A30" s="2" t="s">
        <v>131</v>
      </c>
      <c r="I30" s="3">
        <v>0</v>
      </c>
    </row>
    <row r="31" spans="1:9" ht="12.75" hidden="1">
      <c r="A31" s="2" t="s">
        <v>117</v>
      </c>
      <c r="C31" s="3">
        <v>-740690</v>
      </c>
      <c r="E31" s="3">
        <v>0</v>
      </c>
      <c r="I31" s="3">
        <v>0</v>
      </c>
    </row>
    <row r="32" spans="3:9" ht="13.5" hidden="1" thickBot="1">
      <c r="C32" s="10">
        <f>SUM(C29:C31)</f>
        <v>1722737</v>
      </c>
      <c r="E32" s="10">
        <v>0</v>
      </c>
      <c r="F32" s="10"/>
      <c r="G32" s="10" t="e">
        <f>SUM(G29:G31)</f>
        <v>#REF!</v>
      </c>
      <c r="I32" s="10">
        <f>SUM(I29:I31)</f>
        <v>13560595</v>
      </c>
    </row>
    <row r="34" ht="12.75">
      <c r="A34" s="2" t="s">
        <v>161</v>
      </c>
    </row>
    <row r="36" spans="1:9" ht="12.75">
      <c r="A36" s="2" t="s">
        <v>50</v>
      </c>
      <c r="G36" s="3">
        <f>'BS'!F27</f>
        <v>2874675.68</v>
      </c>
      <c r="I36" s="3">
        <v>4148718</v>
      </c>
    </row>
    <row r="38" spans="1:9" ht="12.75">
      <c r="A38" s="2" t="s">
        <v>209</v>
      </c>
      <c r="G38" s="3">
        <f>-'Notes-B'!F253</f>
        <v>-3480206</v>
      </c>
      <c r="I38" s="3">
        <v>-272676</v>
      </c>
    </row>
    <row r="40" spans="7:9" ht="13.5" thickBot="1">
      <c r="G40" s="10">
        <f>SUM(G36:G39)</f>
        <v>-605530.3199999998</v>
      </c>
      <c r="I40" s="10">
        <f>SUM(I36:I39)</f>
        <v>3876042</v>
      </c>
    </row>
    <row r="41" ht="13.5" thickTop="1"/>
  </sheetData>
  <sheetProtection/>
  <mergeCells count="2">
    <mergeCell ref="C7:E7"/>
    <mergeCell ref="G7:I7"/>
  </mergeCells>
  <printOptions horizontalCentered="1"/>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186"/>
  <sheetViews>
    <sheetView view="pageBreakPreview" zoomScaleSheetLayoutView="100" zoomScalePageLayoutView="0" workbookViewId="0" topLeftCell="A118">
      <selection activeCell="G134" sqref="G134"/>
    </sheetView>
  </sheetViews>
  <sheetFormatPr defaultColWidth="8.8515625" defaultRowHeight="12.75"/>
  <cols>
    <col min="1" max="1" width="3.8515625" style="21" customWidth="1"/>
    <col min="2" max="2" width="9.00390625" style="16" customWidth="1"/>
    <col min="3" max="3" width="21.8515625" style="16" customWidth="1"/>
    <col min="4" max="4" width="15.00390625" style="16" customWidth="1"/>
    <col min="5" max="5" width="14.7109375" style="16" customWidth="1"/>
    <col min="6" max="6" width="1.7109375" style="16" customWidth="1"/>
    <col min="7" max="7" width="16.7109375" style="17" bestFit="1" customWidth="1"/>
    <col min="8" max="8" width="16.00390625" style="17" customWidth="1"/>
    <col min="9" max="9" width="4.140625" style="50" customWidth="1"/>
    <col min="10" max="11" width="8.8515625" style="17" customWidth="1"/>
    <col min="12" max="12" width="11.7109375" style="17" customWidth="1"/>
    <col min="13" max="16384" width="8.8515625" style="17" customWidth="1"/>
  </cols>
  <sheetData>
    <row r="1" spans="1:9" s="2" customFormat="1" ht="12.75">
      <c r="A1" s="21" t="s">
        <v>0</v>
      </c>
      <c r="C1" s="3"/>
      <c r="D1" s="3"/>
      <c r="E1" s="3"/>
      <c r="F1" s="3"/>
      <c r="I1" s="24"/>
    </row>
    <row r="2" spans="1:9" s="2" customFormat="1" ht="12.75">
      <c r="A2" s="25" t="s">
        <v>1</v>
      </c>
      <c r="C2" s="3"/>
      <c r="D2" s="3"/>
      <c r="E2" s="3"/>
      <c r="F2" s="3"/>
      <c r="I2" s="24"/>
    </row>
    <row r="3" spans="1:6" ht="12.75">
      <c r="A3" s="26"/>
      <c r="B3" s="20"/>
      <c r="C3" s="20"/>
      <c r="D3" s="20"/>
      <c r="E3" s="20"/>
      <c r="F3" s="20"/>
    </row>
    <row r="4" ht="12.75"/>
    <row r="5" ht="12.75">
      <c r="B5" s="18"/>
    </row>
    <row r="6" ht="12.75">
      <c r="B6" s="22"/>
    </row>
    <row r="7" ht="12.75"/>
    <row r="8" spans="1:2" ht="12.75">
      <c r="A8" s="44" t="s">
        <v>63</v>
      </c>
      <c r="B8" s="18" t="s">
        <v>29</v>
      </c>
    </row>
    <row r="9" ht="12.75">
      <c r="B9" s="18"/>
    </row>
    <row r="10" ht="12.75">
      <c r="B10" s="18"/>
    </row>
    <row r="11" ht="12.75">
      <c r="B11" s="18"/>
    </row>
    <row r="12" ht="12.75">
      <c r="B12" s="18"/>
    </row>
    <row r="13" ht="12.75">
      <c r="B13" s="18"/>
    </row>
    <row r="14" ht="12.75">
      <c r="B14" s="18"/>
    </row>
    <row r="15" ht="12.75">
      <c r="B15" s="18"/>
    </row>
    <row r="16" ht="12.75">
      <c r="B16" s="18"/>
    </row>
    <row r="17" ht="12.75">
      <c r="B17" s="18"/>
    </row>
    <row r="18" ht="12.75">
      <c r="B18" s="18"/>
    </row>
    <row r="19" spans="1:2" ht="12.75">
      <c r="A19" s="44" t="s">
        <v>62</v>
      </c>
      <c r="B19" s="18" t="s">
        <v>142</v>
      </c>
    </row>
    <row r="20" ht="12.75">
      <c r="B20" s="18"/>
    </row>
    <row r="21" ht="12.75">
      <c r="B21" s="18"/>
    </row>
    <row r="22" ht="12.75">
      <c r="B22" s="18"/>
    </row>
    <row r="23" ht="12.75">
      <c r="B23" s="18"/>
    </row>
    <row r="24" ht="12.75">
      <c r="B24" s="18"/>
    </row>
    <row r="25" ht="12.75">
      <c r="B25" s="18"/>
    </row>
    <row r="26" spans="2:3" ht="12.75">
      <c r="B26" s="16" t="s">
        <v>183</v>
      </c>
      <c r="C26" s="16" t="s">
        <v>185</v>
      </c>
    </row>
    <row r="27" spans="2:3" ht="12.75">
      <c r="B27" s="16" t="s">
        <v>184</v>
      </c>
      <c r="C27" s="16" t="s">
        <v>186</v>
      </c>
    </row>
    <row r="28" ht="12.75">
      <c r="B28" s="17"/>
    </row>
    <row r="29" ht="12.75">
      <c r="B29" s="17"/>
    </row>
    <row r="30" ht="12.75">
      <c r="B30" s="17"/>
    </row>
    <row r="31" ht="12.75">
      <c r="B31" s="17"/>
    </row>
    <row r="32" spans="1:2" ht="12.75">
      <c r="A32" s="44" t="s">
        <v>64</v>
      </c>
      <c r="B32" s="18" t="s">
        <v>113</v>
      </c>
    </row>
    <row r="33" spans="1:2" ht="12.75">
      <c r="A33" s="44"/>
      <c r="B33" s="18"/>
    </row>
    <row r="34" ht="12.75">
      <c r="B34" s="18"/>
    </row>
    <row r="35" ht="12.75"/>
    <row r="36" ht="14.25" customHeight="1"/>
    <row r="37" spans="1:2" ht="12.75">
      <c r="A37" s="44" t="s">
        <v>65</v>
      </c>
      <c r="B37" s="18" t="s">
        <v>31</v>
      </c>
    </row>
    <row r="38" ht="12.75">
      <c r="B38" s="18"/>
    </row>
    <row r="39" ht="12.75"/>
    <row r="40" ht="12.75"/>
    <row r="41" ht="12.75"/>
    <row r="42" spans="1:2" ht="12.75">
      <c r="A42" s="44" t="s">
        <v>66</v>
      </c>
      <c r="B42" s="18" t="s">
        <v>32</v>
      </c>
    </row>
    <row r="43" ht="12.75">
      <c r="B43" s="18"/>
    </row>
    <row r="44" spans="1:2" ht="13.5" customHeight="1">
      <c r="A44" s="17"/>
      <c r="B44" s="17"/>
    </row>
    <row r="45" ht="13.5" customHeight="1">
      <c r="B45" s="19"/>
    </row>
    <row r="46" ht="13.5" customHeight="1">
      <c r="B46" s="19"/>
    </row>
    <row r="47" spans="1:9" s="2" customFormat="1" ht="12.75">
      <c r="A47" s="45" t="s">
        <v>67</v>
      </c>
      <c r="B47" s="23" t="s">
        <v>33</v>
      </c>
      <c r="C47" s="24"/>
      <c r="D47" s="24"/>
      <c r="E47" s="24"/>
      <c r="F47" s="24"/>
      <c r="I47" s="24"/>
    </row>
    <row r="48" spans="1:9" s="2" customFormat="1" ht="12.75">
      <c r="A48" s="27"/>
      <c r="B48" s="105"/>
      <c r="C48" s="24"/>
      <c r="D48" s="24"/>
      <c r="E48" s="24"/>
      <c r="F48" s="24"/>
      <c r="G48" s="24"/>
      <c r="I48" s="24"/>
    </row>
    <row r="49" spans="1:9" s="2" customFormat="1" ht="12.75">
      <c r="A49" s="27"/>
      <c r="B49" s="105"/>
      <c r="C49" s="24"/>
      <c r="D49" s="24"/>
      <c r="E49" s="24"/>
      <c r="F49" s="24"/>
      <c r="G49" s="24"/>
      <c r="I49" s="24"/>
    </row>
    <row r="50" spans="1:2" ht="13.5" customHeight="1">
      <c r="A50" s="17"/>
      <c r="B50" s="17"/>
    </row>
    <row r="51" spans="1:9" s="2" customFormat="1" ht="12.75">
      <c r="A51" s="45" t="s">
        <v>68</v>
      </c>
      <c r="B51" s="23" t="s">
        <v>36</v>
      </c>
      <c r="C51" s="24"/>
      <c r="D51" s="24"/>
      <c r="E51" s="24"/>
      <c r="F51" s="24"/>
      <c r="I51" s="24"/>
    </row>
    <row r="52" spans="1:9" s="2" customFormat="1" ht="12.75">
      <c r="A52" s="45"/>
      <c r="B52" s="23"/>
      <c r="C52" s="24"/>
      <c r="D52" s="24"/>
      <c r="E52" s="24"/>
      <c r="F52" s="24"/>
      <c r="I52" s="24"/>
    </row>
    <row r="53" spans="1:9" s="2" customFormat="1" ht="12.75">
      <c r="A53" s="45"/>
      <c r="B53" s="23"/>
      <c r="C53" s="24"/>
      <c r="D53" s="24"/>
      <c r="E53" s="24"/>
      <c r="F53" s="24"/>
      <c r="I53" s="24"/>
    </row>
    <row r="54" spans="1:9" s="2" customFormat="1" ht="14.25" customHeight="1">
      <c r="A54" s="45"/>
      <c r="B54" s="23"/>
      <c r="C54" s="24"/>
      <c r="D54" s="24"/>
      <c r="E54" s="24"/>
      <c r="F54" s="24"/>
      <c r="I54" s="24"/>
    </row>
    <row r="55" spans="1:9" s="2" customFormat="1" ht="12.75">
      <c r="A55" s="45"/>
      <c r="B55" s="23"/>
      <c r="C55" s="24"/>
      <c r="D55" s="24"/>
      <c r="E55" s="24"/>
      <c r="F55" s="24"/>
      <c r="I55" s="24"/>
    </row>
    <row r="56" spans="1:9" s="2" customFormat="1" ht="12.75">
      <c r="A56" s="45"/>
      <c r="B56" s="23"/>
      <c r="C56" s="24"/>
      <c r="D56" s="24"/>
      <c r="E56" s="24"/>
      <c r="F56" s="24"/>
      <c r="I56" s="24"/>
    </row>
    <row r="57" spans="1:9" s="2" customFormat="1" ht="12.75">
      <c r="A57" s="45"/>
      <c r="B57" s="23"/>
      <c r="C57" s="24"/>
      <c r="D57" s="24"/>
      <c r="E57" s="24"/>
      <c r="F57" s="24"/>
      <c r="I57" s="24"/>
    </row>
    <row r="58" spans="1:9" s="2" customFormat="1" ht="12.75">
      <c r="A58" s="45"/>
      <c r="B58" s="23"/>
      <c r="C58" s="24"/>
      <c r="D58" s="24"/>
      <c r="E58" s="24"/>
      <c r="F58" s="24"/>
      <c r="I58" s="24"/>
    </row>
    <row r="59" spans="1:9" s="2" customFormat="1" ht="12.75">
      <c r="A59" s="45" t="s">
        <v>69</v>
      </c>
      <c r="B59" s="23" t="s">
        <v>143</v>
      </c>
      <c r="C59" s="24"/>
      <c r="D59" s="24"/>
      <c r="E59" s="24"/>
      <c r="F59" s="24"/>
      <c r="I59" s="24"/>
    </row>
    <row r="60" spans="1:9" s="2" customFormat="1" ht="12.75">
      <c r="A60" s="27"/>
      <c r="B60" s="23"/>
      <c r="C60" s="24"/>
      <c r="D60" s="24"/>
      <c r="E60" s="24"/>
      <c r="F60" s="24"/>
      <c r="I60" s="24"/>
    </row>
    <row r="61" spans="1:9" s="2" customFormat="1" ht="12.75">
      <c r="A61" s="27"/>
      <c r="B61" s="23"/>
      <c r="C61" s="24"/>
      <c r="D61" s="24"/>
      <c r="E61" s="24"/>
      <c r="F61" s="24"/>
      <c r="I61" s="24"/>
    </row>
    <row r="62" spans="1:10" s="2" customFormat="1" ht="12.75">
      <c r="A62" s="27"/>
      <c r="B62" s="24"/>
      <c r="C62" s="24"/>
      <c r="D62" s="24"/>
      <c r="E62" s="24"/>
      <c r="F62" s="24"/>
      <c r="I62" s="24"/>
      <c r="J62" s="89" t="s">
        <v>168</v>
      </c>
    </row>
    <row r="63" spans="1:9" s="2" customFormat="1" ht="12.75">
      <c r="A63" s="45" t="s">
        <v>70</v>
      </c>
      <c r="B63" s="23" t="s">
        <v>35</v>
      </c>
      <c r="C63" s="24"/>
      <c r="D63" s="24"/>
      <c r="E63" s="24"/>
      <c r="F63" s="24"/>
      <c r="I63" s="24"/>
    </row>
    <row r="64" spans="1:9" s="2" customFormat="1" ht="12.75">
      <c r="A64" s="45"/>
      <c r="B64" s="23"/>
      <c r="C64" s="24"/>
      <c r="D64" s="24"/>
      <c r="E64" s="24"/>
      <c r="F64" s="24"/>
      <c r="I64" s="24"/>
    </row>
    <row r="65" spans="1:9" s="2" customFormat="1" ht="12.75">
      <c r="A65" s="27"/>
      <c r="C65" s="24"/>
      <c r="D65" s="24"/>
      <c r="E65" s="24"/>
      <c r="F65" s="24"/>
      <c r="G65" s="32"/>
      <c r="H65" s="32"/>
      <c r="I65" s="24"/>
    </row>
    <row r="66" spans="1:9" s="2" customFormat="1" ht="12.75">
      <c r="A66" s="27"/>
      <c r="B66" s="23"/>
      <c r="C66" s="24"/>
      <c r="D66" s="117" t="s">
        <v>54</v>
      </c>
      <c r="E66" s="117"/>
      <c r="F66" s="24"/>
      <c r="G66" s="117" t="s">
        <v>240</v>
      </c>
      <c r="H66" s="117"/>
      <c r="I66" s="24"/>
    </row>
    <row r="67" spans="1:9" s="2" customFormat="1" ht="12.75">
      <c r="A67" s="27"/>
      <c r="B67" s="23"/>
      <c r="C67" s="24"/>
      <c r="D67" s="54" t="s">
        <v>236</v>
      </c>
      <c r="E67" s="54" t="s">
        <v>178</v>
      </c>
      <c r="F67" s="54"/>
      <c r="G67" s="54" t="str">
        <f>D67</f>
        <v>31.12.2007</v>
      </c>
      <c r="H67" s="54" t="str">
        <f>E67</f>
        <v>31.12.2006</v>
      </c>
      <c r="I67" s="24"/>
    </row>
    <row r="68" spans="1:9" s="2" customFormat="1" ht="12.75">
      <c r="A68" s="27"/>
      <c r="B68" s="23"/>
      <c r="C68" s="24"/>
      <c r="D68" s="52" t="s">
        <v>28</v>
      </c>
      <c r="E68" s="52" t="s">
        <v>28</v>
      </c>
      <c r="F68" s="52"/>
      <c r="G68" s="52" t="s">
        <v>28</v>
      </c>
      <c r="H68" s="52" t="s">
        <v>28</v>
      </c>
      <c r="I68" s="24"/>
    </row>
    <row r="69" spans="1:9" s="2" customFormat="1" ht="12.75">
      <c r="A69" s="27"/>
      <c r="B69" s="23" t="s">
        <v>188</v>
      </c>
      <c r="C69" s="24"/>
      <c r="D69" s="32"/>
      <c r="E69" s="32"/>
      <c r="F69" s="24"/>
      <c r="G69" s="32"/>
      <c r="H69" s="32"/>
      <c r="I69" s="24"/>
    </row>
    <row r="70" spans="1:9" s="2" customFormat="1" ht="12.75">
      <c r="A70" s="27"/>
      <c r="B70" s="24" t="s">
        <v>190</v>
      </c>
      <c r="C70" s="24"/>
      <c r="D70" s="32">
        <f>G70-16297438-7834571-11364998</f>
        <v>9845227</v>
      </c>
      <c r="E70" s="32">
        <f>H70-25286458-15970352-30444599</f>
        <v>28869464</v>
      </c>
      <c r="F70" s="24"/>
      <c r="G70" s="32">
        <v>45342234</v>
      </c>
      <c r="H70" s="32">
        <v>100570873</v>
      </c>
      <c r="I70" s="24"/>
    </row>
    <row r="71" spans="1:9" s="2" customFormat="1" ht="12.75">
      <c r="A71" s="27"/>
      <c r="B71" s="24" t="s">
        <v>191</v>
      </c>
      <c r="C71" s="24"/>
      <c r="D71" s="77">
        <f>G71-761865-3155442-1253665</f>
        <v>5349429</v>
      </c>
      <c r="E71" s="77">
        <f>H71-93958-9449680-106173</f>
        <v>738364</v>
      </c>
      <c r="F71" s="11"/>
      <c r="G71" s="77">
        <v>10520401</v>
      </c>
      <c r="H71" s="77">
        <v>10388175</v>
      </c>
      <c r="I71" s="24"/>
    </row>
    <row r="72" spans="1:9" s="2" customFormat="1" ht="12.75">
      <c r="A72" s="27"/>
      <c r="B72" s="24" t="s">
        <v>205</v>
      </c>
      <c r="C72" s="24"/>
      <c r="D72" s="32"/>
      <c r="E72" s="32"/>
      <c r="F72" s="11"/>
      <c r="G72" s="32"/>
      <c r="H72" s="32"/>
      <c r="I72" s="24"/>
    </row>
    <row r="73" spans="1:9" s="2" customFormat="1" ht="12.75">
      <c r="A73" s="27" t="s">
        <v>154</v>
      </c>
      <c r="B73" s="24" t="s">
        <v>206</v>
      </c>
      <c r="C73" s="24"/>
      <c r="D73" s="94">
        <f>SUM(D70:D71)</f>
        <v>15194656</v>
      </c>
      <c r="E73" s="94">
        <f>SUM(E70:E71)</f>
        <v>29607828</v>
      </c>
      <c r="F73" s="94"/>
      <c r="G73" s="94">
        <f>SUM(G70:G71)</f>
        <v>55862635</v>
      </c>
      <c r="H73" s="94">
        <f>SUM(H70:H71)</f>
        <v>110959048</v>
      </c>
      <c r="I73" s="24"/>
    </row>
    <row r="74" spans="1:9" s="2" customFormat="1" ht="12.75">
      <c r="A74" s="27"/>
      <c r="B74" s="24" t="s">
        <v>192</v>
      </c>
      <c r="C74" s="24"/>
      <c r="D74" s="32">
        <f>G74+4004+3677+93078</f>
        <v>-547139</v>
      </c>
      <c r="E74" s="32">
        <f>H74+16173</f>
        <v>-1160</v>
      </c>
      <c r="F74" s="24"/>
      <c r="G74" s="32">
        <v>-647898</v>
      </c>
      <c r="H74" s="32">
        <v>-17333</v>
      </c>
      <c r="I74" s="24"/>
    </row>
    <row r="75" spans="1:9" s="2" customFormat="1" ht="13.5" thickBot="1">
      <c r="A75" s="27"/>
      <c r="B75" s="28" t="s">
        <v>193</v>
      </c>
      <c r="C75" s="24"/>
      <c r="D75" s="95">
        <f>SUM(D73:D74)</f>
        <v>14647517</v>
      </c>
      <c r="E75" s="95">
        <f>SUM(E73:E74)</f>
        <v>29606668</v>
      </c>
      <c r="F75" s="24"/>
      <c r="G75" s="95">
        <f>SUM(G73:G74)</f>
        <v>55214737</v>
      </c>
      <c r="H75" s="95">
        <f>SUM(H73:H74)</f>
        <v>110941715</v>
      </c>
      <c r="I75" s="24"/>
    </row>
    <row r="76" spans="1:9" s="2" customFormat="1" ht="12.75">
      <c r="A76" s="27"/>
      <c r="B76" s="24"/>
      <c r="C76" s="24"/>
      <c r="D76" s="32"/>
      <c r="E76" s="32"/>
      <c r="F76" s="24"/>
      <c r="G76" s="32"/>
      <c r="H76" s="32"/>
      <c r="I76" s="24"/>
    </row>
    <row r="77" spans="1:9" s="2" customFormat="1" ht="12.75">
      <c r="A77" s="27"/>
      <c r="B77" s="23" t="s">
        <v>189</v>
      </c>
      <c r="C77" s="24"/>
      <c r="D77" s="32"/>
      <c r="E77" s="32"/>
      <c r="F77" s="24"/>
      <c r="G77" s="32"/>
      <c r="H77" s="32"/>
      <c r="I77" s="24"/>
    </row>
    <row r="78" spans="1:9" s="2" customFormat="1" ht="12.75">
      <c r="A78" s="27"/>
      <c r="B78" s="24" t="s">
        <v>190</v>
      </c>
      <c r="C78" s="24"/>
      <c r="D78" s="32">
        <f>G78-2785750-162308+123411</f>
        <v>-556637</v>
      </c>
      <c r="E78" s="32">
        <f>H78-2806336-732794-3587538-339405</f>
        <v>4345943</v>
      </c>
      <c r="F78" s="11"/>
      <c r="G78" s="32">
        <f>2422123-15836-138277</f>
        <v>2268010</v>
      </c>
      <c r="H78" s="32">
        <v>11812016</v>
      </c>
      <c r="I78" s="24"/>
    </row>
    <row r="79" spans="1:9" s="2" customFormat="1" ht="12.75">
      <c r="A79" s="27"/>
      <c r="B79" s="24" t="s">
        <v>191</v>
      </c>
      <c r="C79" s="24"/>
      <c r="D79" s="77">
        <f>G79+213114-225970-463236</f>
        <v>-1015890</v>
      </c>
      <c r="E79" s="77">
        <f>H79+276547-2312544+273847</f>
        <v>-820903</v>
      </c>
      <c r="F79" s="11"/>
      <c r="G79" s="77">
        <f>-266031-273767</f>
        <v>-539798</v>
      </c>
      <c r="H79" s="77">
        <v>941247</v>
      </c>
      <c r="I79" s="24"/>
    </row>
    <row r="80" spans="1:9" s="2" customFormat="1" ht="12.75">
      <c r="A80" s="27"/>
      <c r="B80" s="24" t="s">
        <v>194</v>
      </c>
      <c r="C80" s="24"/>
      <c r="D80" s="32">
        <f>SUM(D78:D79)</f>
        <v>-1572527</v>
      </c>
      <c r="E80" s="32">
        <f>SUM(E78:E79)</f>
        <v>3525040</v>
      </c>
      <c r="F80" s="72"/>
      <c r="G80" s="32">
        <f>SUM(G78:G79)</f>
        <v>1728212</v>
      </c>
      <c r="H80" s="32">
        <f>SUM(H78:H79)</f>
        <v>12753263</v>
      </c>
      <c r="I80" s="24"/>
    </row>
    <row r="81" spans="1:9" s="2" customFormat="1" ht="12.75">
      <c r="A81" s="27"/>
      <c r="B81" s="24" t="s">
        <v>181</v>
      </c>
      <c r="C81" s="24"/>
      <c r="D81" s="32">
        <f>G81+52369+53900+128384</f>
        <v>-219938</v>
      </c>
      <c r="E81" s="32">
        <f>H81+27275+49604+33958</f>
        <v>-81758</v>
      </c>
      <c r="F81" s="72"/>
      <c r="G81" s="32">
        <v>-454591</v>
      </c>
      <c r="H81" s="32">
        <v>-192595</v>
      </c>
      <c r="I81" s="24"/>
    </row>
    <row r="82" spans="1:9" s="2" customFormat="1" ht="13.5" thickBot="1">
      <c r="A82" s="27"/>
      <c r="B82" s="24" t="s">
        <v>182</v>
      </c>
      <c r="C82" s="24"/>
      <c r="D82" s="95">
        <f>SUM(D80:D81)</f>
        <v>-1792465</v>
      </c>
      <c r="E82" s="95">
        <f>SUM(E80:E81)</f>
        <v>3443282</v>
      </c>
      <c r="F82" s="24"/>
      <c r="G82" s="95">
        <f>SUM(G80:G81)</f>
        <v>1273621</v>
      </c>
      <c r="H82" s="95">
        <f>SUM(H80:H81)</f>
        <v>12560668</v>
      </c>
      <c r="I82" s="24"/>
    </row>
    <row r="83" spans="1:9" s="2" customFormat="1" ht="12.75">
      <c r="A83" s="27"/>
      <c r="B83" s="23"/>
      <c r="C83" s="24"/>
      <c r="D83" s="24"/>
      <c r="E83" s="24"/>
      <c r="F83" s="24"/>
      <c r="G83" s="32"/>
      <c r="H83" s="32"/>
      <c r="I83" s="24"/>
    </row>
    <row r="84" spans="1:9" s="2" customFormat="1" ht="12.75">
      <c r="A84" s="45" t="s">
        <v>71</v>
      </c>
      <c r="B84" s="23" t="s">
        <v>51</v>
      </c>
      <c r="C84" s="24"/>
      <c r="D84" s="24"/>
      <c r="E84" s="24"/>
      <c r="F84" s="24"/>
      <c r="I84" s="24"/>
    </row>
    <row r="85" spans="1:9" s="2" customFormat="1" ht="12.75">
      <c r="A85" s="45"/>
      <c r="B85" s="23"/>
      <c r="C85" s="24"/>
      <c r="D85" s="24"/>
      <c r="E85" s="24"/>
      <c r="F85" s="24"/>
      <c r="I85" s="24"/>
    </row>
    <row r="86" spans="1:9" s="2" customFormat="1" ht="12.75">
      <c r="A86" s="45"/>
      <c r="B86" s="23"/>
      <c r="C86" s="24"/>
      <c r="D86" s="24"/>
      <c r="E86" s="24"/>
      <c r="F86" s="24"/>
      <c r="I86" s="24"/>
    </row>
    <row r="87" spans="1:9" s="2" customFormat="1" ht="12.75">
      <c r="A87" s="27"/>
      <c r="I87" s="24"/>
    </row>
    <row r="88" spans="1:9" s="2" customFormat="1" ht="12.75">
      <c r="A88" s="27"/>
      <c r="I88" s="24"/>
    </row>
    <row r="89" spans="1:9" s="2" customFormat="1" ht="12.75">
      <c r="A89" s="45" t="s">
        <v>72</v>
      </c>
      <c r="B89" s="23" t="s">
        <v>114</v>
      </c>
      <c r="C89" s="60"/>
      <c r="D89" s="60"/>
      <c r="E89" s="60"/>
      <c r="F89" s="60"/>
      <c r="I89" s="24"/>
    </row>
    <row r="90" spans="1:9" s="2" customFormat="1" ht="12.75">
      <c r="A90" s="27"/>
      <c r="B90" s="23"/>
      <c r="C90" s="24"/>
      <c r="D90" s="24"/>
      <c r="E90" s="24"/>
      <c r="F90" s="24"/>
      <c r="I90" s="24"/>
    </row>
    <row r="91" spans="1:9" s="2" customFormat="1" ht="12.75">
      <c r="A91" s="27"/>
      <c r="I91" s="24"/>
    </row>
    <row r="92" spans="1:9" s="2" customFormat="1" ht="12.75">
      <c r="A92" s="27"/>
      <c r="I92" s="24"/>
    </row>
    <row r="93" spans="1:9" s="2" customFormat="1" ht="12.75">
      <c r="A93" s="27"/>
      <c r="I93" s="24"/>
    </row>
    <row r="94" spans="1:9" s="2" customFormat="1" ht="12.75">
      <c r="A94" s="65" t="s">
        <v>73</v>
      </c>
      <c r="B94" s="23" t="s">
        <v>30</v>
      </c>
      <c r="I94" s="24"/>
    </row>
    <row r="95" spans="1:9" s="2" customFormat="1" ht="12.75">
      <c r="A95" s="27"/>
      <c r="B95" s="1"/>
      <c r="I95" s="24"/>
    </row>
    <row r="96" spans="1:9" s="2" customFormat="1" ht="12.75">
      <c r="A96" s="27"/>
      <c r="B96" s="1"/>
      <c r="I96" s="24"/>
    </row>
    <row r="97" spans="1:9" s="2" customFormat="1" ht="12.75">
      <c r="A97" s="27"/>
      <c r="B97" s="1"/>
      <c r="I97" s="24"/>
    </row>
    <row r="98" spans="1:9" s="2" customFormat="1" ht="12.75">
      <c r="A98" s="27"/>
      <c r="B98" s="1"/>
      <c r="I98" s="24"/>
    </row>
    <row r="99" spans="1:9" s="2" customFormat="1" ht="12.75">
      <c r="A99" s="27"/>
      <c r="B99" s="1" t="s">
        <v>250</v>
      </c>
      <c r="I99" s="24"/>
    </row>
    <row r="100" spans="1:9" s="2" customFormat="1" ht="12.75">
      <c r="A100" s="27"/>
      <c r="B100" s="1"/>
      <c r="I100" s="24"/>
    </row>
    <row r="101" spans="1:9" s="2" customFormat="1" ht="12.75">
      <c r="A101" s="27"/>
      <c r="B101" s="1"/>
      <c r="I101" s="24"/>
    </row>
    <row r="102" spans="1:9" s="2" customFormat="1" ht="12.75">
      <c r="A102" s="27"/>
      <c r="B102" s="1"/>
      <c r="I102" s="24"/>
    </row>
    <row r="103" spans="1:9" s="2" customFormat="1" ht="12.75">
      <c r="A103" s="27"/>
      <c r="B103" s="1"/>
      <c r="I103" s="24"/>
    </row>
    <row r="104" spans="1:9" s="2" customFormat="1" ht="12.75">
      <c r="A104" s="27"/>
      <c r="B104" s="1"/>
      <c r="I104" s="24"/>
    </row>
    <row r="105" spans="1:9" s="2" customFormat="1" ht="12.75">
      <c r="A105" s="27"/>
      <c r="B105" s="1"/>
      <c r="I105" s="24"/>
    </row>
    <row r="106" spans="1:9" s="2" customFormat="1" ht="12.75">
      <c r="A106" s="27"/>
      <c r="B106" s="1"/>
      <c r="I106" s="24"/>
    </row>
    <row r="107" spans="1:9" s="2" customFormat="1" ht="12.75">
      <c r="A107" s="27"/>
      <c r="B107" s="1"/>
      <c r="I107" s="24"/>
    </row>
    <row r="108" spans="1:9" s="2" customFormat="1" ht="12.75">
      <c r="A108" s="27"/>
      <c r="B108" s="1"/>
      <c r="I108" s="24"/>
    </row>
    <row r="109" spans="1:9" s="2" customFormat="1" ht="12.75">
      <c r="A109" s="27"/>
      <c r="B109" s="1" t="s">
        <v>251</v>
      </c>
      <c r="I109" s="24"/>
    </row>
    <row r="110" spans="1:9" s="2" customFormat="1" ht="12.75">
      <c r="A110" s="27"/>
      <c r="B110" s="1"/>
      <c r="I110" s="24"/>
    </row>
    <row r="111" spans="1:9" s="2" customFormat="1" ht="12.75">
      <c r="A111" s="27"/>
      <c r="B111" s="1"/>
      <c r="I111" s="24"/>
    </row>
    <row r="112" spans="1:9" s="2" customFormat="1" ht="12.75">
      <c r="A112" s="27"/>
      <c r="B112" s="1"/>
      <c r="I112" s="24"/>
    </row>
    <row r="113" spans="1:9" s="2" customFormat="1" ht="12.75">
      <c r="A113" s="27"/>
      <c r="B113" s="1"/>
      <c r="I113" s="24"/>
    </row>
    <row r="114" spans="1:9" s="2" customFormat="1" ht="12.75">
      <c r="A114" s="27"/>
      <c r="B114" s="1"/>
      <c r="I114" s="24"/>
    </row>
    <row r="115" spans="1:9" s="2" customFormat="1" ht="12.75">
      <c r="A115" s="27"/>
      <c r="B115" s="1"/>
      <c r="I115" s="24"/>
    </row>
    <row r="116" spans="1:9" s="2" customFormat="1" ht="12.75">
      <c r="A116" s="27"/>
      <c r="B116" s="1"/>
      <c r="I116" s="24"/>
    </row>
    <row r="117" spans="1:9" s="38" customFormat="1" ht="12.75">
      <c r="A117" s="45" t="s">
        <v>74</v>
      </c>
      <c r="B117" s="37" t="s">
        <v>213</v>
      </c>
      <c r="C117" s="2"/>
      <c r="D117" s="2"/>
      <c r="E117" s="2"/>
      <c r="F117" s="2"/>
      <c r="G117" s="2"/>
      <c r="H117" s="2"/>
      <c r="I117" s="28"/>
    </row>
    <row r="118" spans="1:9" s="38" customFormat="1" ht="12.75">
      <c r="A118" s="45"/>
      <c r="B118" s="1"/>
      <c r="C118" s="2"/>
      <c r="D118" s="2"/>
      <c r="E118" s="2"/>
      <c r="F118" s="2"/>
      <c r="G118" s="2"/>
      <c r="H118" s="2"/>
      <c r="I118" s="28"/>
    </row>
    <row r="119" spans="1:9" s="38" customFormat="1" ht="12.75">
      <c r="A119" s="45"/>
      <c r="B119" s="1"/>
      <c r="C119" s="2"/>
      <c r="D119" s="2"/>
      <c r="E119" s="2"/>
      <c r="F119" s="2"/>
      <c r="G119" s="2"/>
      <c r="H119" s="2"/>
      <c r="I119" s="28"/>
    </row>
    <row r="120" spans="1:9" s="38" customFormat="1" ht="12.75">
      <c r="A120" s="27"/>
      <c r="B120" s="1"/>
      <c r="C120" s="2"/>
      <c r="D120" s="2"/>
      <c r="E120" s="2"/>
      <c r="F120" s="2"/>
      <c r="G120" s="2"/>
      <c r="H120" s="2"/>
      <c r="I120" s="28"/>
    </row>
    <row r="121" spans="1:9" s="38" customFormat="1" ht="12.75">
      <c r="A121" s="65"/>
      <c r="B121" s="37"/>
      <c r="C121" s="61"/>
      <c r="D121" s="61"/>
      <c r="E121" s="61"/>
      <c r="F121" s="61"/>
      <c r="I121" s="28"/>
    </row>
    <row r="122" spans="1:9" s="38" customFormat="1" ht="12.75">
      <c r="A122" s="65"/>
      <c r="B122" s="37"/>
      <c r="C122" s="61"/>
      <c r="D122" s="61"/>
      <c r="E122" s="61"/>
      <c r="F122" s="61"/>
      <c r="G122" s="100"/>
      <c r="H122" s="102" t="s">
        <v>169</v>
      </c>
      <c r="I122" s="28"/>
    </row>
    <row r="123" spans="1:9" s="38" customFormat="1" ht="12.75">
      <c r="A123" s="36"/>
      <c r="B123" s="28"/>
      <c r="C123" s="28"/>
      <c r="D123" s="28"/>
      <c r="E123" s="28"/>
      <c r="F123" s="28"/>
      <c r="G123" s="75"/>
      <c r="H123" s="75" t="s">
        <v>236</v>
      </c>
      <c r="I123" s="28"/>
    </row>
    <row r="124" spans="1:9" s="38" customFormat="1" ht="12.75">
      <c r="A124" s="36"/>
      <c r="B124" s="37"/>
      <c r="C124" s="28"/>
      <c r="D124" s="28"/>
      <c r="E124" s="28"/>
      <c r="F124" s="28"/>
      <c r="G124" s="75"/>
      <c r="H124" s="75" t="s">
        <v>195</v>
      </c>
      <c r="I124" s="28"/>
    </row>
    <row r="125" spans="1:9" s="38" customFormat="1" ht="12.75">
      <c r="A125" s="36"/>
      <c r="B125" s="28" t="s">
        <v>196</v>
      </c>
      <c r="C125" s="28"/>
      <c r="D125" s="28"/>
      <c r="E125" s="28"/>
      <c r="F125" s="28"/>
      <c r="G125" s="28"/>
      <c r="I125" s="28"/>
    </row>
    <row r="126" spans="1:9" s="38" customFormat="1" ht="13.5" thickBot="1">
      <c r="A126" s="36"/>
      <c r="B126" s="28" t="s">
        <v>204</v>
      </c>
      <c r="C126" s="28"/>
      <c r="D126" s="28"/>
      <c r="E126" s="28"/>
      <c r="F126" s="28"/>
      <c r="G126" s="99"/>
      <c r="H126" s="82">
        <v>31500000</v>
      </c>
      <c r="I126" s="28"/>
    </row>
    <row r="127" spans="1:9" s="2" customFormat="1" ht="12.75">
      <c r="A127" s="27"/>
      <c r="B127" s="24"/>
      <c r="C127" s="24"/>
      <c r="D127" s="24"/>
      <c r="E127" s="24"/>
      <c r="F127" s="24"/>
      <c r="I127" s="24"/>
    </row>
    <row r="128" spans="1:9" s="2" customFormat="1" ht="12.75" customHeight="1">
      <c r="A128" s="45" t="s">
        <v>144</v>
      </c>
      <c r="B128" s="23" t="s">
        <v>75</v>
      </c>
      <c r="C128" s="60"/>
      <c r="D128" s="60"/>
      <c r="E128" s="60"/>
      <c r="F128" s="60"/>
      <c r="I128" s="24"/>
    </row>
    <row r="129" spans="1:9" s="2" customFormat="1" ht="12.75">
      <c r="A129" s="45"/>
      <c r="B129" s="23"/>
      <c r="C129" s="24"/>
      <c r="D129" s="24"/>
      <c r="E129" s="24"/>
      <c r="F129" s="24"/>
      <c r="I129" s="24"/>
    </row>
    <row r="130" spans="1:9" s="2" customFormat="1" ht="12.75">
      <c r="A130" s="27"/>
      <c r="B130" s="24"/>
      <c r="C130" s="24"/>
      <c r="D130" s="24"/>
      <c r="E130" s="24"/>
      <c r="F130" s="24"/>
      <c r="I130" s="24"/>
    </row>
    <row r="131" spans="1:9" s="2" customFormat="1" ht="12.75">
      <c r="A131" s="27"/>
      <c r="B131" s="28"/>
      <c r="C131" s="24"/>
      <c r="D131" s="24"/>
      <c r="E131" s="24"/>
      <c r="F131" s="24"/>
      <c r="I131" s="24"/>
    </row>
    <row r="132" spans="1:9" s="2" customFormat="1" ht="12.75">
      <c r="A132" s="27"/>
      <c r="B132" s="28"/>
      <c r="C132" s="24"/>
      <c r="D132" s="24"/>
      <c r="E132" s="24"/>
      <c r="F132" s="24"/>
      <c r="I132" s="24"/>
    </row>
    <row r="133" spans="1:9" s="2" customFormat="1" ht="12.75">
      <c r="A133" s="27"/>
      <c r="B133" s="28"/>
      <c r="C133" s="24"/>
      <c r="D133" s="24"/>
      <c r="E133" s="24"/>
      <c r="F133" s="24"/>
      <c r="G133" s="32"/>
      <c r="H133" s="79" t="s">
        <v>236</v>
      </c>
      <c r="I133" s="24"/>
    </row>
    <row r="134" spans="1:9" s="2" customFormat="1" ht="12.75">
      <c r="A134" s="27"/>
      <c r="B134" s="24"/>
      <c r="C134" s="24"/>
      <c r="D134" s="24"/>
      <c r="E134" s="24"/>
      <c r="F134" s="24"/>
      <c r="G134" s="32"/>
      <c r="H134" s="79" t="s">
        <v>28</v>
      </c>
      <c r="I134" s="24"/>
    </row>
    <row r="135" spans="1:9" s="2" customFormat="1" ht="12.75">
      <c r="A135" s="27"/>
      <c r="B135" s="24"/>
      <c r="C135" s="24"/>
      <c r="D135" s="24"/>
      <c r="E135" s="24"/>
      <c r="F135" s="24"/>
      <c r="G135" s="3"/>
      <c r="H135" s="3"/>
      <c r="I135" s="24"/>
    </row>
    <row r="136" spans="1:9" s="2" customFormat="1" ht="12.75">
      <c r="A136" s="27"/>
      <c r="B136" s="24" t="s">
        <v>197</v>
      </c>
      <c r="C136" s="24"/>
      <c r="D136" s="24"/>
      <c r="E136" s="24"/>
      <c r="F136" s="24"/>
      <c r="G136" s="3"/>
      <c r="H136" s="3"/>
      <c r="I136" s="24"/>
    </row>
    <row r="137" spans="1:9" s="2" customFormat="1" ht="12.75" hidden="1">
      <c r="A137" s="27"/>
      <c r="B137" s="24" t="s">
        <v>198</v>
      </c>
      <c r="C137" s="24"/>
      <c r="D137" s="24"/>
      <c r="E137" s="24"/>
      <c r="F137" s="24"/>
      <c r="G137" s="3"/>
      <c r="H137" s="11">
        <v>0</v>
      </c>
      <c r="I137" s="24"/>
    </row>
    <row r="138" spans="1:9" s="2" customFormat="1" ht="13.5" thickBot="1">
      <c r="A138" s="27"/>
      <c r="B138" s="24" t="s">
        <v>199</v>
      </c>
      <c r="C138" s="24"/>
      <c r="D138" s="24"/>
      <c r="E138" s="24"/>
      <c r="F138" s="24"/>
      <c r="G138" s="3"/>
      <c r="H138" s="109">
        <v>13939574</v>
      </c>
      <c r="I138" s="24"/>
    </row>
    <row r="139" spans="1:9" s="2" customFormat="1" ht="12.75">
      <c r="A139" s="27"/>
      <c r="B139" s="103"/>
      <c r="C139" s="24"/>
      <c r="D139" s="24"/>
      <c r="E139" s="24"/>
      <c r="F139" s="24"/>
      <c r="G139" s="3"/>
      <c r="H139" s="11"/>
      <c r="I139" s="24"/>
    </row>
    <row r="140" spans="1:9" s="2" customFormat="1" ht="12.75">
      <c r="A140" s="45" t="s">
        <v>118</v>
      </c>
      <c r="B140" s="23" t="s">
        <v>52</v>
      </c>
      <c r="C140" s="60"/>
      <c r="D140" s="60"/>
      <c r="E140" s="60"/>
      <c r="F140" s="60"/>
      <c r="I140" s="24"/>
    </row>
    <row r="141" spans="1:9" s="2" customFormat="1" ht="12.75">
      <c r="A141" s="45"/>
      <c r="B141" s="23"/>
      <c r="C141" s="24"/>
      <c r="D141" s="24"/>
      <c r="E141" s="24"/>
      <c r="F141" s="24"/>
      <c r="I141" s="24"/>
    </row>
    <row r="142" spans="1:9" s="38" customFormat="1" ht="12.75">
      <c r="A142" s="36"/>
      <c r="B142" s="28" t="s">
        <v>243</v>
      </c>
      <c r="C142" s="28"/>
      <c r="D142" s="28"/>
      <c r="E142" s="28"/>
      <c r="F142" s="28"/>
      <c r="I142" s="28"/>
    </row>
    <row r="143" spans="1:9" s="38" customFormat="1" ht="12.75">
      <c r="A143" s="36"/>
      <c r="B143" s="28"/>
      <c r="C143" s="28"/>
      <c r="D143" s="28"/>
      <c r="E143" s="28"/>
      <c r="F143" s="28"/>
      <c r="I143" s="28"/>
    </row>
    <row r="144" spans="1:9" s="38" customFormat="1" ht="12.75">
      <c r="A144" s="36"/>
      <c r="B144" s="39"/>
      <c r="C144" s="28"/>
      <c r="D144" s="28"/>
      <c r="E144" s="28"/>
      <c r="F144" s="28"/>
      <c r="G144" s="79" t="s">
        <v>54</v>
      </c>
      <c r="H144" s="79" t="s">
        <v>240</v>
      </c>
      <c r="I144" s="28"/>
    </row>
    <row r="145" spans="1:9" s="38" customFormat="1" ht="12.75">
      <c r="A145" s="36"/>
      <c r="B145" s="39"/>
      <c r="C145" s="28"/>
      <c r="D145" s="28"/>
      <c r="E145" s="28"/>
      <c r="F145" s="28"/>
      <c r="G145" s="79" t="s">
        <v>236</v>
      </c>
      <c r="H145" s="79" t="s">
        <v>236</v>
      </c>
      <c r="I145" s="28"/>
    </row>
    <row r="146" spans="1:9" s="38" customFormat="1" ht="12.75">
      <c r="A146" s="36"/>
      <c r="B146" s="39"/>
      <c r="C146" s="28"/>
      <c r="D146" s="28"/>
      <c r="E146" s="28"/>
      <c r="F146" s="28"/>
      <c r="G146" s="79" t="s">
        <v>28</v>
      </c>
      <c r="H146" s="79" t="s">
        <v>28</v>
      </c>
      <c r="I146" s="28"/>
    </row>
    <row r="147" spans="1:9" s="38" customFormat="1" ht="12.75">
      <c r="A147" s="36"/>
      <c r="B147" s="39"/>
      <c r="C147" s="28"/>
      <c r="D147" s="28"/>
      <c r="E147" s="28"/>
      <c r="F147" s="28"/>
      <c r="G147" s="28"/>
      <c r="I147" s="28"/>
    </row>
    <row r="148" spans="1:9" s="38" customFormat="1" ht="12.75">
      <c r="A148" s="36"/>
      <c r="B148" s="38" t="s">
        <v>105</v>
      </c>
      <c r="C148" s="28"/>
      <c r="D148" s="28"/>
      <c r="E148" s="28"/>
      <c r="F148" s="28"/>
      <c r="G148" s="98"/>
      <c r="I148" s="53"/>
    </row>
    <row r="149" spans="1:9" s="38" customFormat="1" ht="12.75">
      <c r="A149" s="36"/>
      <c r="B149" s="38" t="s">
        <v>228</v>
      </c>
      <c r="C149" s="28"/>
      <c r="D149" s="28"/>
      <c r="E149" s="28"/>
      <c r="F149" s="28"/>
      <c r="G149" s="98">
        <v>15000</v>
      </c>
      <c r="H149" s="40">
        <v>60000</v>
      </c>
      <c r="I149" s="53"/>
    </row>
    <row r="150" spans="1:9" s="38" customFormat="1" ht="12.75">
      <c r="A150" s="36"/>
      <c r="C150" s="28"/>
      <c r="D150" s="28"/>
      <c r="E150" s="28"/>
      <c r="F150" s="28"/>
      <c r="G150" s="98"/>
      <c r="H150" s="40"/>
      <c r="I150" s="53"/>
    </row>
    <row r="151" spans="1:9" s="38" customFormat="1" ht="12.75">
      <c r="A151" s="36"/>
      <c r="B151" s="28" t="s">
        <v>100</v>
      </c>
      <c r="C151" s="28"/>
      <c r="D151" s="28"/>
      <c r="E151" s="28"/>
      <c r="F151" s="28"/>
      <c r="G151" s="99">
        <v>3000</v>
      </c>
      <c r="H151" s="41">
        <v>12000</v>
      </c>
      <c r="I151" s="53"/>
    </row>
    <row r="152" spans="1:9" s="38" customFormat="1" ht="12.75">
      <c r="A152" s="36"/>
      <c r="B152" s="28"/>
      <c r="C152" s="28"/>
      <c r="D152" s="28"/>
      <c r="E152" s="28"/>
      <c r="F152" s="28"/>
      <c r="G152" s="99"/>
      <c r="H152" s="41"/>
      <c r="I152" s="53"/>
    </row>
    <row r="153" spans="2:9" ht="12.75">
      <c r="B153" s="39" t="s">
        <v>177</v>
      </c>
      <c r="G153" s="94"/>
      <c r="I153" s="53"/>
    </row>
    <row r="154" spans="2:9" ht="12.75">
      <c r="B154" s="28" t="s">
        <v>230</v>
      </c>
      <c r="G154" s="98">
        <v>357123</v>
      </c>
      <c r="H154" s="40">
        <v>1089255</v>
      </c>
      <c r="I154" s="53"/>
    </row>
    <row r="155" spans="2:9" ht="12.75">
      <c r="B155" s="28"/>
      <c r="G155" s="98"/>
      <c r="H155" s="40"/>
      <c r="I155" s="53"/>
    </row>
    <row r="156" spans="2:9" ht="12.75">
      <c r="B156" s="38" t="s">
        <v>175</v>
      </c>
      <c r="G156" s="98">
        <v>6000</v>
      </c>
      <c r="H156" s="40">
        <v>24000</v>
      </c>
      <c r="I156" s="53"/>
    </row>
    <row r="157" spans="2:9" ht="12.75">
      <c r="B157" s="28"/>
      <c r="G157" s="98"/>
      <c r="H157" s="40"/>
      <c r="I157" s="53"/>
    </row>
    <row r="158" spans="1:9" s="38" customFormat="1" ht="12.75">
      <c r="A158" s="36"/>
      <c r="B158" s="28" t="s">
        <v>176</v>
      </c>
      <c r="C158" s="28"/>
      <c r="D158" s="28"/>
      <c r="E158" s="28"/>
      <c r="F158" s="28"/>
      <c r="G158" s="11">
        <v>3000</v>
      </c>
      <c r="H158" s="3">
        <v>12000</v>
      </c>
      <c r="I158" s="53"/>
    </row>
    <row r="159" spans="2:9" ht="12.75">
      <c r="B159" s="39"/>
      <c r="G159" s="39"/>
      <c r="H159" s="16"/>
      <c r="I159" s="53"/>
    </row>
    <row r="160" spans="2:9" ht="12.75">
      <c r="B160" s="39" t="s">
        <v>107</v>
      </c>
      <c r="G160" s="94"/>
      <c r="I160" s="53"/>
    </row>
    <row r="161" spans="2:8" ht="12.75">
      <c r="B161" s="39" t="s">
        <v>111</v>
      </c>
      <c r="G161" s="98">
        <f>H161-10218954.21</f>
        <v>3459.789999999106</v>
      </c>
      <c r="H161" s="40">
        <v>10222414</v>
      </c>
    </row>
    <row r="162" spans="2:8" ht="12.75">
      <c r="B162" s="39"/>
      <c r="G162" s="98"/>
      <c r="H162" s="40"/>
    </row>
    <row r="163" spans="2:8" ht="12.75">
      <c r="B163" s="39" t="s">
        <v>229</v>
      </c>
      <c r="G163" s="98"/>
      <c r="H163" s="40"/>
    </row>
    <row r="164" spans="2:8" ht="12.75">
      <c r="B164" s="28" t="s">
        <v>231</v>
      </c>
      <c r="C164" s="69"/>
      <c r="D164" s="69"/>
      <c r="E164" s="69"/>
      <c r="F164" s="69"/>
      <c r="G164" s="56">
        <v>5035</v>
      </c>
      <c r="H164" s="56">
        <v>91316</v>
      </c>
    </row>
    <row r="165" spans="2:8" ht="12.75">
      <c r="B165" s="39"/>
      <c r="C165" s="69"/>
      <c r="D165" s="69"/>
      <c r="E165" s="69"/>
      <c r="F165" s="69"/>
      <c r="G165" s="56"/>
      <c r="H165" s="56"/>
    </row>
    <row r="166" spans="2:8" ht="12.75">
      <c r="B166" s="39" t="s">
        <v>249</v>
      </c>
      <c r="C166" s="69"/>
      <c r="D166" s="69"/>
      <c r="E166" s="69"/>
      <c r="F166" s="69"/>
      <c r="G166" s="56"/>
      <c r="H166" s="56"/>
    </row>
    <row r="167" spans="2:8" ht="12.75">
      <c r="B167" s="39" t="s">
        <v>231</v>
      </c>
      <c r="C167" s="69"/>
      <c r="D167" s="69"/>
      <c r="E167" s="69"/>
      <c r="F167" s="69"/>
      <c r="G167" s="56">
        <v>2908587</v>
      </c>
      <c r="H167" s="56">
        <v>2908587</v>
      </c>
    </row>
    <row r="168" spans="2:8" ht="12.75">
      <c r="B168" s="39"/>
      <c r="C168" s="69"/>
      <c r="D168" s="69"/>
      <c r="E168" s="69"/>
      <c r="F168" s="69"/>
      <c r="G168" s="56"/>
      <c r="H168" s="56"/>
    </row>
    <row r="169" spans="2:8" ht="12.75">
      <c r="B169" s="39" t="s">
        <v>222</v>
      </c>
      <c r="C169" s="69"/>
      <c r="D169" s="69"/>
      <c r="E169" s="69"/>
      <c r="F169" s="69"/>
      <c r="G169" s="56"/>
      <c r="H169" s="56"/>
    </row>
    <row r="170" spans="2:8" ht="12.75">
      <c r="B170" s="39" t="s">
        <v>221</v>
      </c>
      <c r="C170" s="69"/>
      <c r="D170" s="69"/>
      <c r="E170" s="69"/>
      <c r="F170" s="69"/>
      <c r="G170" s="56">
        <v>0</v>
      </c>
      <c r="H170" s="56">
        <v>1297298</v>
      </c>
    </row>
    <row r="171" spans="2:8" ht="12.75">
      <c r="B171" s="39"/>
      <c r="C171" s="69"/>
      <c r="D171" s="69"/>
      <c r="E171" s="69"/>
      <c r="F171" s="69"/>
      <c r="G171" s="56"/>
      <c r="H171" s="56"/>
    </row>
    <row r="172" spans="2:8" ht="13.5" thickBot="1">
      <c r="B172" s="39" t="s">
        <v>223</v>
      </c>
      <c r="C172" s="69"/>
      <c r="D172" s="69"/>
      <c r="E172" s="69"/>
      <c r="F172" s="69"/>
      <c r="G172" s="80">
        <f>4320+304045</f>
        <v>308365</v>
      </c>
      <c r="H172" s="80">
        <f>476775+3710+308365</f>
        <v>788850</v>
      </c>
    </row>
    <row r="173" spans="2:8" ht="12.75">
      <c r="B173" s="39"/>
      <c r="C173" s="69"/>
      <c r="D173" s="69"/>
      <c r="E173" s="69"/>
      <c r="F173" s="69"/>
      <c r="G173" s="56"/>
      <c r="H173" s="56"/>
    </row>
    <row r="174" spans="1:9" s="2" customFormat="1" ht="12.75">
      <c r="A174" s="27"/>
      <c r="B174" s="24"/>
      <c r="C174" s="24"/>
      <c r="D174" s="24"/>
      <c r="E174" s="24"/>
      <c r="F174" s="24"/>
      <c r="I174" s="24"/>
    </row>
    <row r="175" spans="1:9" s="2" customFormat="1" ht="12.75">
      <c r="A175" s="27"/>
      <c r="B175" s="28"/>
      <c r="C175" s="24"/>
      <c r="D175" s="24"/>
      <c r="E175" s="24"/>
      <c r="F175" s="24"/>
      <c r="I175" s="24"/>
    </row>
    <row r="176" spans="1:9" s="2" customFormat="1" ht="12.75">
      <c r="A176" s="27"/>
      <c r="B176" s="28"/>
      <c r="C176" s="24"/>
      <c r="D176" s="24"/>
      <c r="E176" s="24"/>
      <c r="F176" s="24"/>
      <c r="I176" s="24"/>
    </row>
    <row r="177" spans="1:9" s="2" customFormat="1" ht="12.75">
      <c r="A177" s="27"/>
      <c r="B177" s="28"/>
      <c r="C177" s="24"/>
      <c r="D177" s="24"/>
      <c r="E177" s="24"/>
      <c r="F177" s="24"/>
      <c r="I177" s="24"/>
    </row>
    <row r="178" spans="1:9" s="2" customFormat="1" ht="12.75">
      <c r="A178" s="27"/>
      <c r="B178" s="28"/>
      <c r="C178" s="24"/>
      <c r="D178" s="24"/>
      <c r="E178" s="24"/>
      <c r="F178" s="24"/>
      <c r="I178" s="24"/>
    </row>
    <row r="179" spans="1:9" s="2" customFormat="1" ht="12.75">
      <c r="A179" s="27"/>
      <c r="B179" s="28"/>
      <c r="C179" s="24"/>
      <c r="D179" s="24"/>
      <c r="E179" s="24"/>
      <c r="F179" s="24"/>
      <c r="I179" s="24"/>
    </row>
    <row r="180" spans="1:9" s="2" customFormat="1" ht="12.75">
      <c r="A180" s="27"/>
      <c r="B180" s="28"/>
      <c r="C180" s="24"/>
      <c r="D180" s="24"/>
      <c r="E180" s="24"/>
      <c r="F180" s="24"/>
      <c r="I180" s="24"/>
    </row>
    <row r="181" spans="1:9" s="2" customFormat="1" ht="12.75">
      <c r="A181" s="27"/>
      <c r="B181" s="28"/>
      <c r="C181" s="24"/>
      <c r="D181" s="24"/>
      <c r="E181" s="24"/>
      <c r="F181" s="24"/>
      <c r="I181" s="24"/>
    </row>
    <row r="182" spans="1:9" s="2" customFormat="1" ht="12.75">
      <c r="A182" s="27"/>
      <c r="B182" s="28"/>
      <c r="C182" s="24"/>
      <c r="D182" s="24"/>
      <c r="E182" s="24"/>
      <c r="F182" s="24"/>
      <c r="I182" s="24"/>
    </row>
    <row r="183" spans="1:9" s="2" customFormat="1" ht="12.75">
      <c r="A183" s="27"/>
      <c r="B183" s="28"/>
      <c r="C183" s="24"/>
      <c r="D183" s="24"/>
      <c r="E183" s="24"/>
      <c r="F183" s="24"/>
      <c r="I183" s="24"/>
    </row>
    <row r="184" spans="1:9" s="2" customFormat="1" ht="12.75">
      <c r="A184" s="27"/>
      <c r="B184" s="28"/>
      <c r="C184" s="24"/>
      <c r="D184" s="24"/>
      <c r="E184" s="24"/>
      <c r="F184" s="24"/>
      <c r="I184" s="24"/>
    </row>
    <row r="185" spans="1:9" s="2" customFormat="1" ht="12.75">
      <c r="A185" s="27"/>
      <c r="B185" s="28"/>
      <c r="C185" s="24"/>
      <c r="D185" s="24"/>
      <c r="E185" s="24"/>
      <c r="F185" s="24"/>
      <c r="I185" s="24"/>
    </row>
    <row r="186" spans="1:9" s="2" customFormat="1" ht="12.75">
      <c r="A186" s="27"/>
      <c r="B186" s="28"/>
      <c r="C186" s="24"/>
      <c r="D186" s="24"/>
      <c r="E186" s="24"/>
      <c r="F186" s="24"/>
      <c r="I186" s="24"/>
    </row>
  </sheetData>
  <sheetProtection/>
  <mergeCells count="2">
    <mergeCell ref="G66:H66"/>
    <mergeCell ref="D66:E66"/>
  </mergeCells>
  <printOptions horizontalCentered="1"/>
  <pageMargins left="0.590551181102362" right="0.393700787401575" top="1.18110236220472" bottom="0.393700787401575" header="0.511811023622047" footer="0.511811023622047"/>
  <pageSetup horizontalDpi="600" verticalDpi="600" orientation="portrait" paperSize="9" scale="95" r:id="rId4"/>
  <rowBreaks count="2" manualBreakCount="2">
    <brk id="58" max="7" man="1"/>
    <brk id="116" max="7" man="1"/>
  </rowBreaks>
  <drawing r:id="rId3"/>
  <legacyDrawing r:id="rId2"/>
</worksheet>
</file>

<file path=xl/worksheets/sheet8.xml><?xml version="1.0" encoding="utf-8"?>
<worksheet xmlns="http://schemas.openxmlformats.org/spreadsheetml/2006/main" xmlns:r="http://schemas.openxmlformats.org/officeDocument/2006/relationships">
  <dimension ref="A1:AT734"/>
  <sheetViews>
    <sheetView view="pageBreakPreview" zoomScaleSheetLayoutView="100" zoomScalePageLayoutView="0" workbookViewId="0" topLeftCell="A42">
      <selection activeCell="F58" sqref="F58"/>
    </sheetView>
  </sheetViews>
  <sheetFormatPr defaultColWidth="8.8515625" defaultRowHeight="12.75"/>
  <cols>
    <col min="1" max="1" width="3.28125" style="18" customWidth="1"/>
    <col min="2" max="2" width="3.7109375" style="16" customWidth="1"/>
    <col min="3" max="3" width="21.8515625" style="16" customWidth="1"/>
    <col min="4" max="4" width="11.140625" style="16" bestFit="1" customWidth="1"/>
    <col min="5" max="5" width="11.140625" style="17" bestFit="1" customWidth="1"/>
    <col min="6" max="6" width="13.28125" style="17" customWidth="1"/>
    <col min="7" max="7" width="15.28125" style="17" customWidth="1"/>
    <col min="8" max="8" width="1.8515625" style="17" customWidth="1"/>
    <col min="9" max="9" width="15.7109375" style="17" customWidth="1"/>
    <col min="10" max="16384" width="8.8515625" style="17" customWidth="1"/>
  </cols>
  <sheetData>
    <row r="1" spans="1:4" s="2" customFormat="1" ht="12.75">
      <c r="A1" s="18" t="s">
        <v>0</v>
      </c>
      <c r="D1" s="3"/>
    </row>
    <row r="2" spans="1:4" s="2" customFormat="1" ht="12.75">
      <c r="A2" s="16" t="s">
        <v>1</v>
      </c>
      <c r="D2" s="3"/>
    </row>
    <row r="3" spans="1:4" ht="12.75">
      <c r="A3" s="84"/>
      <c r="B3" s="20"/>
      <c r="C3" s="20"/>
      <c r="D3" s="20"/>
    </row>
    <row r="4" spans="2:3" ht="12.75">
      <c r="B4" s="18"/>
      <c r="C4" s="18"/>
    </row>
    <row r="5" spans="2:3" ht="12.75">
      <c r="B5" s="22"/>
      <c r="C5" s="22"/>
    </row>
    <row r="6" spans="2:3" ht="12.75">
      <c r="B6" s="22"/>
      <c r="C6" s="22"/>
    </row>
    <row r="7" spans="1:34" s="2" customFormat="1" ht="12.75">
      <c r="A7" s="85" t="s">
        <v>76</v>
      </c>
      <c r="B7" s="36" t="s">
        <v>40</v>
      </c>
      <c r="C7" s="106"/>
      <c r="D7" s="35"/>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s="2" customFormat="1" ht="12.75">
      <c r="A8" s="86"/>
      <c r="B8" s="27"/>
      <c r="C8" s="27"/>
      <c r="D8" s="35"/>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2:3" ht="12.75">
      <c r="B9" s="22"/>
      <c r="C9" s="22"/>
    </row>
    <row r="10" spans="2:11" ht="12.75">
      <c r="B10" s="22"/>
      <c r="C10" s="22"/>
      <c r="K10" s="71"/>
    </row>
    <row r="11" spans="2:3" ht="12.75">
      <c r="B11" s="22"/>
      <c r="C11" s="22"/>
    </row>
    <row r="12" spans="2:3" ht="12.75">
      <c r="B12" s="22"/>
      <c r="C12" s="22"/>
    </row>
    <row r="13" spans="2:3" ht="12.75">
      <c r="B13" s="22"/>
      <c r="C13" s="22"/>
    </row>
    <row r="14" spans="2:3" ht="12.75">
      <c r="B14" s="22"/>
      <c r="C14" s="22"/>
    </row>
    <row r="15" spans="2:3" ht="12.75">
      <c r="B15" s="22"/>
      <c r="C15" s="22"/>
    </row>
    <row r="16" spans="2:3" ht="12.75">
      <c r="B16" s="22"/>
      <c r="C16" s="22"/>
    </row>
    <row r="17" spans="2:3" ht="12.75">
      <c r="B17" s="22"/>
      <c r="C17" s="22"/>
    </row>
    <row r="18" spans="2:3" ht="12.75">
      <c r="B18" s="22"/>
      <c r="C18" s="22"/>
    </row>
    <row r="19" spans="2:3" ht="12.75">
      <c r="B19" s="22"/>
      <c r="C19" s="22"/>
    </row>
    <row r="20" spans="2:3" ht="12.75">
      <c r="B20" s="22"/>
      <c r="C20" s="22"/>
    </row>
    <row r="21" spans="2:3" ht="12.75">
      <c r="B21" s="22"/>
      <c r="C21" s="22"/>
    </row>
    <row r="22" spans="2:3" ht="12.75">
      <c r="B22" s="22"/>
      <c r="C22" s="22"/>
    </row>
    <row r="23" spans="2:3" ht="12.75">
      <c r="B23" s="22"/>
      <c r="C23" s="22"/>
    </row>
    <row r="24" spans="2:3" ht="12.75">
      <c r="B24" s="22"/>
      <c r="C24" s="22"/>
    </row>
    <row r="25" spans="2:3" ht="12.75">
      <c r="B25" s="22"/>
      <c r="C25" s="22"/>
    </row>
    <row r="26" spans="2:3" ht="12.75">
      <c r="B26" s="22"/>
      <c r="C26" s="22"/>
    </row>
    <row r="27" spans="2:3" ht="12.75">
      <c r="B27" s="22"/>
      <c r="C27" s="22"/>
    </row>
    <row r="28" spans="2:3" ht="12.75">
      <c r="B28" s="22"/>
      <c r="C28" s="22"/>
    </row>
    <row r="29" spans="1:46" s="2" customFormat="1" ht="13.5" customHeight="1">
      <c r="A29" s="85" t="s">
        <v>77</v>
      </c>
      <c r="B29" s="27"/>
      <c r="C29" s="27"/>
      <c r="D29" s="29"/>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row>
    <row r="30" spans="1:46" s="2" customFormat="1" ht="13.5" customHeight="1">
      <c r="A30" s="86"/>
      <c r="B30" s="29"/>
      <c r="C30" s="29"/>
      <c r="D30" s="29"/>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row>
    <row r="31" spans="1:46" s="2" customFormat="1" ht="13.5" customHeight="1">
      <c r="A31" s="86"/>
      <c r="B31" s="29"/>
      <c r="C31" s="29"/>
      <c r="D31" s="29"/>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row>
    <row r="32" spans="1:46" s="2" customFormat="1" ht="12.75">
      <c r="A32" s="86"/>
      <c r="B32" s="29"/>
      <c r="C32" s="29"/>
      <c r="D32" s="29"/>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row>
    <row r="33" spans="1:46" s="2" customFormat="1" ht="12.75">
      <c r="A33" s="86"/>
      <c r="B33" s="29"/>
      <c r="C33" s="29"/>
      <c r="D33" s="29"/>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row>
    <row r="34" spans="1:46" s="2" customFormat="1" ht="13.5" customHeight="1">
      <c r="A34" s="86"/>
      <c r="B34" s="29"/>
      <c r="C34" s="29"/>
      <c r="D34" s="29"/>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row>
    <row r="35" spans="1:46" s="2" customFormat="1" ht="13.5" customHeight="1">
      <c r="A35" s="86"/>
      <c r="B35" s="29"/>
      <c r="C35" s="29"/>
      <c r="D35" s="29"/>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row>
    <row r="36" spans="1:46" s="2" customFormat="1" ht="13.5" customHeight="1">
      <c r="A36" s="86"/>
      <c r="B36" s="29"/>
      <c r="C36" s="29"/>
      <c r="D36" s="29"/>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row>
    <row r="37" spans="1:46" s="2" customFormat="1" ht="12.75">
      <c r="A37" s="85" t="s">
        <v>78</v>
      </c>
      <c r="B37" s="27" t="s">
        <v>252</v>
      </c>
      <c r="C37" s="97"/>
      <c r="D37" s="29"/>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row>
    <row r="38" spans="1:46" s="2" customFormat="1" ht="12.75">
      <c r="A38" s="85"/>
      <c r="B38" s="27"/>
      <c r="C38" s="27"/>
      <c r="D38" s="29"/>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row>
    <row r="39" spans="10:24" ht="13.5" customHeight="1">
      <c r="J39" s="118"/>
      <c r="K39" s="118"/>
      <c r="L39" s="118"/>
      <c r="M39" s="118"/>
      <c r="N39" s="118"/>
      <c r="O39" s="118"/>
      <c r="P39" s="118"/>
      <c r="Q39" s="118"/>
      <c r="R39" s="118"/>
      <c r="S39" s="118"/>
      <c r="T39" s="118"/>
      <c r="U39" s="118"/>
      <c r="V39" s="118"/>
      <c r="W39" s="118"/>
      <c r="X39" s="118"/>
    </row>
    <row r="40" spans="10:24" ht="13.5" customHeight="1">
      <c r="J40" s="118"/>
      <c r="K40" s="118"/>
      <c r="L40" s="118"/>
      <c r="M40" s="118"/>
      <c r="N40" s="118"/>
      <c r="O40" s="118"/>
      <c r="P40" s="118"/>
      <c r="Q40" s="118"/>
      <c r="R40" s="118"/>
      <c r="S40" s="118"/>
      <c r="T40" s="118"/>
      <c r="U40" s="118"/>
      <c r="V40" s="118"/>
      <c r="W40" s="118"/>
      <c r="X40" s="118"/>
    </row>
    <row r="41" spans="10:24" ht="13.5" customHeight="1">
      <c r="J41" s="119"/>
      <c r="K41" s="119"/>
      <c r="L41" s="119"/>
      <c r="M41" s="119"/>
      <c r="N41" s="119"/>
      <c r="O41" s="119"/>
      <c r="P41" s="119"/>
      <c r="Q41" s="119"/>
      <c r="R41" s="119"/>
      <c r="S41" s="119"/>
      <c r="T41" s="119"/>
      <c r="U41" s="119"/>
      <c r="V41" s="119"/>
      <c r="W41" s="119"/>
      <c r="X41" s="119"/>
    </row>
    <row r="42" spans="10:24" ht="13.5" customHeight="1">
      <c r="J42" s="120"/>
      <c r="K42" s="120"/>
      <c r="L42" s="120"/>
      <c r="M42" s="120"/>
      <c r="N42" s="120"/>
      <c r="O42" s="120"/>
      <c r="P42" s="120"/>
      <c r="Q42" s="120"/>
      <c r="R42" s="120"/>
      <c r="S42" s="120"/>
      <c r="T42" s="120"/>
      <c r="U42" s="120"/>
      <c r="V42" s="120"/>
      <c r="W42" s="120"/>
      <c r="X42" s="120"/>
    </row>
    <row r="43" spans="10:24" ht="13.5" customHeight="1">
      <c r="J43" s="25"/>
      <c r="K43" s="25"/>
      <c r="L43" s="25"/>
      <c r="M43" s="25"/>
      <c r="N43" s="25"/>
      <c r="O43" s="25"/>
      <c r="P43" s="25"/>
      <c r="Q43" s="25"/>
      <c r="R43" s="25"/>
      <c r="S43" s="25"/>
      <c r="T43" s="25"/>
      <c r="U43" s="25"/>
      <c r="V43" s="25"/>
      <c r="W43" s="25"/>
      <c r="X43" s="25"/>
    </row>
    <row r="44" spans="10:24" ht="13.5" customHeight="1">
      <c r="J44" s="25"/>
      <c r="K44" s="25"/>
      <c r="L44" s="25"/>
      <c r="M44" s="25"/>
      <c r="N44" s="25"/>
      <c r="O44" s="25"/>
      <c r="P44" s="25"/>
      <c r="Q44" s="25"/>
      <c r="R44" s="25"/>
      <c r="S44" s="25"/>
      <c r="T44" s="25"/>
      <c r="U44" s="25"/>
      <c r="V44" s="25"/>
      <c r="W44" s="25"/>
      <c r="X44" s="25"/>
    </row>
    <row r="45" spans="10:24" ht="13.5" customHeight="1">
      <c r="J45" s="25"/>
      <c r="K45" s="25"/>
      <c r="L45" s="25"/>
      <c r="M45" s="25"/>
      <c r="N45" s="25"/>
      <c r="O45" s="25"/>
      <c r="P45" s="25"/>
      <c r="Q45" s="25"/>
      <c r="R45" s="25"/>
      <c r="S45" s="25"/>
      <c r="T45" s="25"/>
      <c r="U45" s="25"/>
      <c r="V45" s="25"/>
      <c r="W45" s="25"/>
      <c r="X45" s="25"/>
    </row>
    <row r="46" spans="10:24" ht="13.5" customHeight="1">
      <c r="J46" s="25"/>
      <c r="K46" s="25"/>
      <c r="L46" s="25"/>
      <c r="M46" s="25"/>
      <c r="N46" s="25"/>
      <c r="O46" s="25"/>
      <c r="P46" s="25"/>
      <c r="Q46" s="25"/>
      <c r="R46" s="25"/>
      <c r="S46" s="25"/>
      <c r="T46" s="25"/>
      <c r="U46" s="25"/>
      <c r="V46" s="25"/>
      <c r="W46" s="25"/>
      <c r="X46" s="25"/>
    </row>
    <row r="47" spans="10:24" ht="13.5" customHeight="1">
      <c r="J47" s="25"/>
      <c r="K47" s="25"/>
      <c r="L47" s="25"/>
      <c r="M47" s="25"/>
      <c r="N47" s="25"/>
      <c r="O47" s="25"/>
      <c r="P47" s="25"/>
      <c r="Q47" s="25"/>
      <c r="R47" s="25"/>
      <c r="S47" s="25"/>
      <c r="T47" s="25"/>
      <c r="U47" s="25"/>
      <c r="V47" s="25"/>
      <c r="W47" s="25"/>
      <c r="X47" s="25"/>
    </row>
    <row r="48" spans="10:24" ht="13.5" customHeight="1">
      <c r="J48" s="25"/>
      <c r="K48" s="25"/>
      <c r="L48" s="25"/>
      <c r="M48" s="25"/>
      <c r="N48" s="25"/>
      <c r="O48" s="25"/>
      <c r="P48" s="25"/>
      <c r="Q48" s="25"/>
      <c r="R48" s="25"/>
      <c r="S48" s="25"/>
      <c r="T48" s="25"/>
      <c r="U48" s="25"/>
      <c r="V48" s="25"/>
      <c r="W48" s="25"/>
      <c r="X48" s="25"/>
    </row>
    <row r="49" spans="1:46" s="2" customFormat="1" ht="12.75">
      <c r="A49" s="85" t="s">
        <v>79</v>
      </c>
      <c r="B49" s="27" t="s">
        <v>41</v>
      </c>
      <c r="C49" s="27"/>
      <c r="D49" s="29"/>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row>
    <row r="50" spans="1:46" s="2" customFormat="1" ht="12.75">
      <c r="A50" s="85"/>
      <c r="B50" s="27"/>
      <c r="C50" s="27"/>
      <c r="D50" s="29"/>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row>
    <row r="51" spans="1:46" s="2" customFormat="1" ht="12.75">
      <c r="A51" s="86"/>
      <c r="B51" s="29"/>
      <c r="C51" s="29"/>
      <c r="D51" s="29"/>
      <c r="E51" s="25"/>
      <c r="F51" s="25"/>
      <c r="G51" s="25"/>
      <c r="H51" s="25"/>
      <c r="I51" s="25"/>
      <c r="J51" s="29"/>
      <c r="K51" s="29"/>
      <c r="L51" s="29"/>
      <c r="M51" s="29"/>
      <c r="N51" s="29"/>
      <c r="O51" s="29"/>
      <c r="P51" s="29"/>
      <c r="Q51" s="29"/>
      <c r="R51" s="29"/>
      <c r="S51" s="29"/>
      <c r="T51" s="29"/>
      <c r="U51" s="29"/>
      <c r="V51" s="29"/>
      <c r="W51" s="29"/>
      <c r="X51" s="29"/>
      <c r="Y51" s="25"/>
      <c r="Z51" s="25"/>
      <c r="AA51" s="25"/>
      <c r="AB51" s="25"/>
      <c r="AC51" s="25"/>
      <c r="AD51" s="25"/>
      <c r="AE51" s="25"/>
      <c r="AF51" s="25"/>
      <c r="AG51" s="25"/>
      <c r="AH51" s="25"/>
      <c r="AI51" s="25"/>
      <c r="AJ51" s="25"/>
      <c r="AK51" s="25"/>
      <c r="AL51" s="25"/>
      <c r="AM51" s="25"/>
      <c r="AN51" s="25"/>
      <c r="AO51" s="25"/>
      <c r="AP51" s="25"/>
      <c r="AQ51" s="25"/>
      <c r="AR51" s="25"/>
      <c r="AS51" s="25"/>
      <c r="AT51" s="25"/>
    </row>
    <row r="52" spans="1:46" s="2" customFormat="1" ht="12.75">
      <c r="A52" s="86"/>
      <c r="B52" s="29"/>
      <c r="C52" s="29"/>
      <c r="D52" s="29"/>
      <c r="E52" s="25"/>
      <c r="F52" s="25"/>
      <c r="G52" s="25"/>
      <c r="H52" s="25"/>
      <c r="I52" s="25"/>
      <c r="J52" s="29"/>
      <c r="K52" s="29"/>
      <c r="L52" s="29"/>
      <c r="M52" s="29"/>
      <c r="N52" s="29"/>
      <c r="O52" s="29"/>
      <c r="P52" s="29"/>
      <c r="Q52" s="29"/>
      <c r="R52" s="29"/>
      <c r="S52" s="29"/>
      <c r="T52" s="29"/>
      <c r="U52" s="29"/>
      <c r="V52" s="29"/>
      <c r="W52" s="29"/>
      <c r="X52" s="29"/>
      <c r="Y52" s="25"/>
      <c r="Z52" s="25"/>
      <c r="AA52" s="25"/>
      <c r="AB52" s="25"/>
      <c r="AC52" s="25"/>
      <c r="AD52" s="25"/>
      <c r="AE52" s="25"/>
      <c r="AF52" s="25"/>
      <c r="AG52" s="25"/>
      <c r="AH52" s="25"/>
      <c r="AI52" s="25"/>
      <c r="AJ52" s="25"/>
      <c r="AK52" s="25"/>
      <c r="AL52" s="25"/>
      <c r="AM52" s="25"/>
      <c r="AN52" s="25"/>
      <c r="AO52" s="25"/>
      <c r="AP52" s="25"/>
      <c r="AQ52" s="25"/>
      <c r="AR52" s="25"/>
      <c r="AS52" s="25"/>
      <c r="AT52" s="25"/>
    </row>
    <row r="53" spans="1:46" s="2" customFormat="1" ht="12.75">
      <c r="A53" s="85" t="s">
        <v>80</v>
      </c>
      <c r="B53" s="27" t="s">
        <v>8</v>
      </c>
      <c r="C53" s="27"/>
      <c r="D53" s="29"/>
      <c r="E53" s="25"/>
      <c r="F53" s="25"/>
      <c r="G53" s="25"/>
      <c r="H53" s="25"/>
      <c r="I53" s="29"/>
      <c r="J53" s="29"/>
      <c r="K53" s="29"/>
      <c r="L53" s="29"/>
      <c r="M53" s="29"/>
      <c r="N53" s="29"/>
      <c r="O53" s="29"/>
      <c r="P53" s="29"/>
      <c r="Q53" s="29"/>
      <c r="R53" s="29"/>
      <c r="S53" s="29"/>
      <c r="T53" s="29"/>
      <c r="U53" s="29"/>
      <c r="V53" s="29"/>
      <c r="W53" s="29"/>
      <c r="X53" s="29"/>
      <c r="Y53" s="25"/>
      <c r="Z53" s="25"/>
      <c r="AA53" s="25"/>
      <c r="AB53" s="25"/>
      <c r="AC53" s="25"/>
      <c r="AD53" s="25"/>
      <c r="AE53" s="25"/>
      <c r="AF53" s="25"/>
      <c r="AG53" s="25"/>
      <c r="AH53" s="25"/>
      <c r="AI53" s="25"/>
      <c r="AJ53" s="25"/>
      <c r="AK53" s="25"/>
      <c r="AL53" s="25"/>
      <c r="AM53" s="25"/>
      <c r="AN53" s="25"/>
      <c r="AO53" s="25"/>
      <c r="AP53" s="25"/>
      <c r="AQ53" s="25"/>
      <c r="AR53" s="25"/>
      <c r="AS53" s="25"/>
      <c r="AT53" s="25"/>
    </row>
    <row r="54" spans="1:46" s="2" customFormat="1" ht="12.75">
      <c r="A54" s="86"/>
      <c r="B54" s="27"/>
      <c r="C54" s="27"/>
      <c r="D54" s="29"/>
      <c r="E54" s="29"/>
      <c r="F54" s="29"/>
      <c r="G54" s="101" t="s">
        <v>54</v>
      </c>
      <c r="H54" s="52"/>
      <c r="I54" s="101" t="s">
        <v>240</v>
      </c>
      <c r="J54" s="29"/>
      <c r="K54" s="29"/>
      <c r="L54" s="29"/>
      <c r="M54" s="29"/>
      <c r="N54" s="29"/>
      <c r="O54" s="29"/>
      <c r="P54" s="29"/>
      <c r="Q54" s="29"/>
      <c r="R54" s="29"/>
      <c r="S54" s="29"/>
      <c r="T54" s="29"/>
      <c r="U54" s="29"/>
      <c r="V54" s="29"/>
      <c r="W54" s="29"/>
      <c r="X54" s="29"/>
      <c r="Y54" s="25"/>
      <c r="Z54" s="25"/>
      <c r="AA54" s="25"/>
      <c r="AB54" s="25"/>
      <c r="AC54" s="25"/>
      <c r="AD54" s="25"/>
      <c r="AE54" s="25"/>
      <c r="AF54" s="25"/>
      <c r="AG54" s="25"/>
      <c r="AH54" s="25"/>
      <c r="AI54" s="25"/>
      <c r="AJ54" s="25"/>
      <c r="AK54" s="25"/>
      <c r="AL54" s="25"/>
      <c r="AM54" s="25"/>
      <c r="AN54" s="25"/>
      <c r="AO54" s="25"/>
      <c r="AP54" s="25"/>
      <c r="AQ54" s="25"/>
      <c r="AR54" s="25"/>
      <c r="AS54" s="25"/>
      <c r="AT54" s="25"/>
    </row>
    <row r="55" spans="1:46" s="24" customFormat="1" ht="12.75">
      <c r="A55" s="86"/>
      <c r="B55" s="29"/>
      <c r="C55" s="29"/>
      <c r="D55" s="29"/>
      <c r="E55" s="32"/>
      <c r="F55" s="32"/>
      <c r="G55" s="79" t="s">
        <v>236</v>
      </c>
      <c r="H55" s="79"/>
      <c r="I55" s="79" t="s">
        <v>236</v>
      </c>
      <c r="J55" s="25"/>
      <c r="K55" s="25"/>
      <c r="L55" s="25"/>
      <c r="M55" s="25"/>
      <c r="N55" s="25"/>
      <c r="O55" s="25"/>
      <c r="P55" s="25"/>
      <c r="Q55" s="25"/>
      <c r="R55" s="25"/>
      <c r="S55" s="25"/>
      <c r="T55" s="25"/>
      <c r="U55" s="25"/>
      <c r="V55" s="25"/>
      <c r="W55" s="25"/>
      <c r="X55" s="25"/>
      <c r="Y55" s="29"/>
      <c r="Z55" s="29"/>
      <c r="AA55" s="29"/>
      <c r="AB55" s="29"/>
      <c r="AC55" s="29"/>
      <c r="AD55" s="29"/>
      <c r="AE55" s="29"/>
      <c r="AF55" s="29"/>
      <c r="AG55" s="29"/>
      <c r="AH55" s="29"/>
      <c r="AI55" s="29"/>
      <c r="AJ55" s="29"/>
      <c r="AK55" s="29"/>
      <c r="AL55" s="29"/>
      <c r="AM55" s="29"/>
      <c r="AN55" s="29"/>
      <c r="AO55" s="29"/>
      <c r="AP55" s="29"/>
      <c r="AQ55" s="29"/>
      <c r="AR55" s="29"/>
      <c r="AS55" s="29"/>
      <c r="AT55" s="29"/>
    </row>
    <row r="56" spans="1:46" s="24" customFormat="1" ht="12.75">
      <c r="A56" s="86"/>
      <c r="B56" s="29"/>
      <c r="C56" s="29"/>
      <c r="D56" s="29"/>
      <c r="E56" s="35"/>
      <c r="F56" s="35"/>
      <c r="G56" s="52" t="s">
        <v>28</v>
      </c>
      <c r="H56" s="52"/>
      <c r="I56" s="52" t="s">
        <v>28</v>
      </c>
      <c r="J56" s="25"/>
      <c r="K56" s="25"/>
      <c r="L56" s="25"/>
      <c r="M56" s="25"/>
      <c r="N56" s="25"/>
      <c r="O56" s="25"/>
      <c r="P56" s="25"/>
      <c r="Q56" s="25"/>
      <c r="R56" s="25"/>
      <c r="S56" s="25"/>
      <c r="T56" s="25"/>
      <c r="U56" s="25"/>
      <c r="V56" s="25"/>
      <c r="W56" s="25"/>
      <c r="X56" s="25"/>
      <c r="Y56" s="29"/>
      <c r="Z56" s="29"/>
      <c r="AA56" s="29"/>
      <c r="AB56" s="29"/>
      <c r="AC56" s="29"/>
      <c r="AD56" s="29"/>
      <c r="AE56" s="29"/>
      <c r="AF56" s="29"/>
      <c r="AG56" s="29"/>
      <c r="AH56" s="29"/>
      <c r="AI56" s="29"/>
      <c r="AJ56" s="29"/>
      <c r="AK56" s="29"/>
      <c r="AL56" s="29"/>
      <c r="AM56" s="29"/>
      <c r="AN56" s="29"/>
      <c r="AO56" s="29"/>
      <c r="AP56" s="29"/>
      <c r="AQ56" s="29"/>
      <c r="AR56" s="29"/>
      <c r="AS56" s="29"/>
      <c r="AT56" s="29"/>
    </row>
    <row r="57" spans="1:46" s="24" customFormat="1" ht="12.75">
      <c r="A57" s="86"/>
      <c r="B57" s="29" t="s">
        <v>126</v>
      </c>
      <c r="C57" s="29"/>
      <c r="D57" s="29"/>
      <c r="E57" s="35"/>
      <c r="F57" s="35"/>
      <c r="G57" s="35"/>
      <c r="H57" s="35"/>
      <c r="I57" s="35"/>
      <c r="J57" s="25"/>
      <c r="K57" s="25"/>
      <c r="L57" s="25"/>
      <c r="M57" s="25"/>
      <c r="N57" s="25"/>
      <c r="O57" s="25"/>
      <c r="P57" s="25"/>
      <c r="Q57" s="25"/>
      <c r="R57" s="25"/>
      <c r="S57" s="25"/>
      <c r="T57" s="25"/>
      <c r="U57" s="25"/>
      <c r="V57" s="25"/>
      <c r="W57" s="25"/>
      <c r="X57" s="25"/>
      <c r="Y57" s="29"/>
      <c r="Z57" s="29"/>
      <c r="AA57" s="29"/>
      <c r="AB57" s="29"/>
      <c r="AC57" s="29"/>
      <c r="AD57" s="29"/>
      <c r="AE57" s="29"/>
      <c r="AF57" s="29"/>
      <c r="AG57" s="29"/>
      <c r="AH57" s="29"/>
      <c r="AI57" s="29"/>
      <c r="AJ57" s="29"/>
      <c r="AK57" s="29"/>
      <c r="AL57" s="29"/>
      <c r="AM57" s="29"/>
      <c r="AN57" s="29"/>
      <c r="AO57" s="29"/>
      <c r="AP57" s="29"/>
      <c r="AQ57" s="29"/>
      <c r="AR57" s="29"/>
      <c r="AS57" s="29"/>
      <c r="AT57" s="29"/>
    </row>
    <row r="58" spans="1:46" s="24" customFormat="1" ht="12.75">
      <c r="A58" s="86"/>
      <c r="B58" s="29"/>
      <c r="C58" s="29" t="s">
        <v>127</v>
      </c>
      <c r="D58" s="29"/>
      <c r="E58" s="35"/>
      <c r="F58" s="35"/>
      <c r="G58" s="31">
        <f>I58-881000-133500-143000</f>
        <v>-87051</v>
      </c>
      <c r="H58" s="34"/>
      <c r="I58" s="31">
        <v>1070449</v>
      </c>
      <c r="J58" s="25"/>
      <c r="K58" s="25"/>
      <c r="L58" s="25"/>
      <c r="M58" s="25"/>
      <c r="N58" s="25"/>
      <c r="O58" s="25"/>
      <c r="P58" s="25"/>
      <c r="Q58" s="25"/>
      <c r="R58" s="25"/>
      <c r="S58" s="25"/>
      <c r="T58" s="25"/>
      <c r="U58" s="25"/>
      <c r="V58" s="25"/>
      <c r="W58" s="25"/>
      <c r="X58" s="25"/>
      <c r="Y58" s="29"/>
      <c r="Z58" s="29"/>
      <c r="AA58" s="29"/>
      <c r="AB58" s="29"/>
      <c r="AC58" s="29"/>
      <c r="AD58" s="29"/>
      <c r="AE58" s="29"/>
      <c r="AF58" s="29"/>
      <c r="AG58" s="29"/>
      <c r="AH58" s="29"/>
      <c r="AI58" s="29"/>
      <c r="AJ58" s="29"/>
      <c r="AK58" s="29"/>
      <c r="AL58" s="29"/>
      <c r="AM58" s="29"/>
      <c r="AN58" s="29"/>
      <c r="AO58" s="29"/>
      <c r="AP58" s="29"/>
      <c r="AQ58" s="29"/>
      <c r="AR58" s="29"/>
      <c r="AS58" s="29"/>
      <c r="AT58" s="29"/>
    </row>
    <row r="59" spans="1:46" s="2" customFormat="1" ht="12.75">
      <c r="A59" s="86"/>
      <c r="B59" s="29"/>
      <c r="C59" s="29" t="s">
        <v>253</v>
      </c>
      <c r="D59" s="29"/>
      <c r="E59" s="35"/>
      <c r="F59" s="35"/>
      <c r="G59" s="31">
        <f>I59-0-40700-30946</f>
        <v>0</v>
      </c>
      <c r="H59" s="34"/>
      <c r="I59" s="31">
        <v>71646</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row>
    <row r="60" spans="1:46" s="2" customFormat="1" ht="12.75">
      <c r="A60" s="86"/>
      <c r="C60" s="29" t="s">
        <v>106</v>
      </c>
      <c r="D60" s="29"/>
      <c r="E60" s="34"/>
      <c r="F60" s="34"/>
      <c r="G60" s="51">
        <f>I60-33000+110000+59000</f>
        <v>-143978</v>
      </c>
      <c r="H60" s="34"/>
      <c r="I60" s="51">
        <v>-279978</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row>
    <row r="61" spans="1:46" s="2" customFormat="1" ht="13.5" thickBot="1">
      <c r="A61" s="86"/>
      <c r="B61" s="29"/>
      <c r="C61" s="29"/>
      <c r="D61" s="29"/>
      <c r="E61" s="34"/>
      <c r="F61" s="34"/>
      <c r="G61" s="87">
        <f>SUM(G58:G60)</f>
        <v>-231029</v>
      </c>
      <c r="H61" s="34"/>
      <c r="I61" s="87">
        <f>SUM(I58:I60)</f>
        <v>862117</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row>
    <row r="62" spans="1:46" s="2" customFormat="1" ht="12.75">
      <c r="A62" s="86"/>
      <c r="B62" s="33"/>
      <c r="C62" s="33"/>
      <c r="D62" s="29"/>
      <c r="E62" s="31"/>
      <c r="F62" s="31"/>
      <c r="G62" s="34"/>
      <c r="H62" s="34"/>
      <c r="I62" s="34"/>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row>
    <row r="63" spans="1:46" s="2" customFormat="1" ht="12.75">
      <c r="A63" s="86"/>
      <c r="B63" s="33"/>
      <c r="C63" s="33"/>
      <c r="D63" s="29"/>
      <c r="E63" s="31"/>
      <c r="F63" s="31"/>
      <c r="G63" s="31"/>
      <c r="H63" s="31"/>
      <c r="I63" s="34"/>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row>
    <row r="64" spans="1:46" s="2" customFormat="1" ht="12.75">
      <c r="A64" s="86"/>
      <c r="B64" s="33"/>
      <c r="C64" s="33"/>
      <c r="D64" s="29"/>
      <c r="E64" s="31"/>
      <c r="F64" s="31"/>
      <c r="G64" s="31"/>
      <c r="H64" s="31"/>
      <c r="I64" s="34"/>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row>
    <row r="65" spans="1:46" s="2" customFormat="1" ht="12.75">
      <c r="A65" s="86"/>
      <c r="B65" s="33"/>
      <c r="C65" s="33"/>
      <c r="D65" s="29"/>
      <c r="E65" s="31"/>
      <c r="F65" s="31"/>
      <c r="G65" s="31"/>
      <c r="H65" s="31"/>
      <c r="I65" s="34"/>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row>
    <row r="66" spans="1:46" s="2" customFormat="1" ht="12.75">
      <c r="A66" s="86"/>
      <c r="B66" s="33"/>
      <c r="C66" s="33"/>
      <c r="D66" s="29"/>
      <c r="E66" s="31"/>
      <c r="F66" s="31"/>
      <c r="G66" s="31"/>
      <c r="H66" s="31"/>
      <c r="I66" s="34"/>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row>
    <row r="67" spans="1:46" s="2" customFormat="1" ht="12.75">
      <c r="A67" s="85" t="s">
        <v>81</v>
      </c>
      <c r="B67" s="27" t="s">
        <v>90</v>
      </c>
      <c r="C67" s="27"/>
      <c r="D67" s="29"/>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row>
    <row r="68" spans="1:46" s="2" customFormat="1" ht="12.75">
      <c r="A68" s="85"/>
      <c r="B68" s="27"/>
      <c r="C68" s="27"/>
      <c r="D68" s="29"/>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row>
    <row r="69" spans="1:46" s="2" customFormat="1" ht="12.75">
      <c r="A69" s="86"/>
      <c r="B69" s="29"/>
      <c r="C69" s="29"/>
      <c r="D69" s="29"/>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row>
    <row r="70" spans="1:46" s="2" customFormat="1" ht="12.75">
      <c r="A70" s="86"/>
      <c r="B70" s="29"/>
      <c r="C70" s="29"/>
      <c r="D70" s="29"/>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row>
    <row r="71" spans="1:46" s="2" customFormat="1" ht="12.75">
      <c r="A71" s="85" t="s">
        <v>82</v>
      </c>
      <c r="B71" s="27" t="s">
        <v>89</v>
      </c>
      <c r="C71" s="27"/>
      <c r="D71" s="29"/>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row>
    <row r="72" spans="1:46" s="2" customFormat="1" ht="12.75">
      <c r="A72" s="85"/>
      <c r="B72" s="27"/>
      <c r="C72" s="27"/>
      <c r="D72" s="29"/>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row>
    <row r="73" spans="1:46" s="2" customFormat="1" ht="12.75">
      <c r="A73" s="86"/>
      <c r="B73" s="29" t="s">
        <v>246</v>
      </c>
      <c r="C73" s="29"/>
      <c r="D73" s="29"/>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row>
    <row r="74" spans="1:46" s="2" customFormat="1" ht="12.75">
      <c r="A74" s="86"/>
      <c r="B74" s="29"/>
      <c r="C74" s="29"/>
      <c r="D74" s="29"/>
      <c r="E74" s="25"/>
      <c r="F74" s="25"/>
      <c r="G74" s="29"/>
      <c r="H74" s="29"/>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row>
    <row r="75" spans="1:46" s="2" customFormat="1" ht="12.75">
      <c r="A75" s="86"/>
      <c r="B75" s="29"/>
      <c r="C75" s="29"/>
      <c r="D75" s="29"/>
      <c r="E75" s="25"/>
      <c r="F75" s="25"/>
      <c r="G75" s="52"/>
      <c r="H75" s="52"/>
      <c r="I75" s="43" t="s">
        <v>59</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row>
    <row r="76" spans="1:46" s="2" customFormat="1" ht="12.75">
      <c r="A76" s="86"/>
      <c r="B76" s="29"/>
      <c r="C76" s="29"/>
      <c r="D76" s="29"/>
      <c r="E76" s="25"/>
      <c r="F76" s="25"/>
      <c r="G76" s="79"/>
      <c r="H76" s="79"/>
      <c r="I76" s="79" t="s">
        <v>236</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row>
    <row r="77" spans="1:46" s="2" customFormat="1" ht="12.75">
      <c r="A77" s="86"/>
      <c r="B77" s="29"/>
      <c r="C77" s="29"/>
      <c r="D77" s="29"/>
      <c r="E77" s="25"/>
      <c r="F77" s="25"/>
      <c r="G77" s="52"/>
      <c r="H77" s="52"/>
      <c r="I77" s="43" t="s">
        <v>28</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row>
    <row r="78" spans="1:46" s="2" customFormat="1" ht="12.75">
      <c r="A78" s="86"/>
      <c r="B78" s="29"/>
      <c r="C78" s="29"/>
      <c r="D78" s="29"/>
      <c r="E78" s="25"/>
      <c r="F78" s="25"/>
      <c r="G78" s="52"/>
      <c r="H78" s="52"/>
      <c r="I78" s="43"/>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row>
    <row r="79" spans="1:46" s="2" customFormat="1" ht="12.75">
      <c r="A79" s="86"/>
      <c r="B79" s="29" t="s">
        <v>122</v>
      </c>
      <c r="C79" s="29"/>
      <c r="D79" s="29"/>
      <c r="E79" s="25"/>
      <c r="F79" s="25"/>
      <c r="G79" s="34"/>
      <c r="H79" s="34"/>
      <c r="I79" s="31">
        <f>1189166.04-95000</f>
        <v>1094166.04</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row>
    <row r="80" spans="1:46" s="2" customFormat="1" ht="12.75">
      <c r="A80" s="86"/>
      <c r="B80" s="29" t="s">
        <v>123</v>
      </c>
      <c r="C80" s="29"/>
      <c r="D80" s="29"/>
      <c r="E80" s="25"/>
      <c r="F80" s="25"/>
      <c r="G80" s="34"/>
      <c r="H80" s="34"/>
      <c r="I80" s="31">
        <f>115000+32749.79+432734.9</f>
        <v>580484.6900000001</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row>
    <row r="81" spans="1:46" s="2" customFormat="1" ht="13.5" thickBot="1">
      <c r="A81" s="86"/>
      <c r="B81" s="29" t="s">
        <v>124</v>
      </c>
      <c r="C81" s="29"/>
      <c r="D81" s="29"/>
      <c r="E81" s="25"/>
      <c r="F81" s="25"/>
      <c r="G81" s="34"/>
      <c r="H81" s="34"/>
      <c r="I81" s="67">
        <f>759000+32749.79+432734.9</f>
        <v>1224484.69</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row>
    <row r="82" spans="1:46" s="2" customFormat="1" ht="12.75">
      <c r="A82" s="86"/>
      <c r="B82" s="29"/>
      <c r="C82" s="29"/>
      <c r="D82" s="29"/>
      <c r="E82" s="25"/>
      <c r="F82" s="25"/>
      <c r="G82" s="34"/>
      <c r="H82" s="34"/>
      <c r="I82" s="34"/>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row>
    <row r="83" spans="1:46" s="2" customFormat="1" ht="12.75">
      <c r="A83" s="85" t="s">
        <v>83</v>
      </c>
      <c r="B83" s="27" t="s">
        <v>244</v>
      </c>
      <c r="C83" s="97"/>
      <c r="D83" s="29"/>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row>
    <row r="84" spans="1:46" s="2" customFormat="1" ht="12.75">
      <c r="A84" s="85"/>
      <c r="B84" s="27"/>
      <c r="C84" s="27"/>
      <c r="D84" s="29"/>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row>
    <row r="85" spans="1:46" s="2" customFormat="1" ht="12.75">
      <c r="A85" s="86"/>
      <c r="B85" s="27"/>
      <c r="C85" s="27"/>
      <c r="D85" s="29"/>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row>
    <row r="86" spans="1:46" s="2" customFormat="1" ht="12.75">
      <c r="A86" s="86"/>
      <c r="B86" s="27"/>
      <c r="C86" s="27"/>
      <c r="D86" s="29"/>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row>
    <row r="87" spans="1:46" s="2" customFormat="1" ht="12.75">
      <c r="A87" s="86"/>
      <c r="B87" s="27" t="s">
        <v>226</v>
      </c>
      <c r="D87" s="29"/>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row>
    <row r="88" spans="1:46" s="2" customFormat="1" ht="12.75">
      <c r="A88" s="86"/>
      <c r="B88" s="27"/>
      <c r="C88" s="27"/>
      <c r="D88" s="29"/>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row>
    <row r="89" spans="1:46" s="2" customFormat="1" ht="12.75">
      <c r="A89" s="86"/>
      <c r="B89" s="27"/>
      <c r="C89" s="27"/>
      <c r="D89" s="29"/>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row>
    <row r="90" spans="1:46" s="2" customFormat="1" ht="12.75">
      <c r="A90" s="86"/>
      <c r="B90" s="27"/>
      <c r="C90" s="27"/>
      <c r="D90" s="29"/>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row>
    <row r="91" spans="1:46" s="2" customFormat="1" ht="12.75">
      <c r="A91" s="86"/>
      <c r="B91" s="27"/>
      <c r="C91" s="27"/>
      <c r="D91" s="29"/>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row>
    <row r="92" spans="1:46" s="2" customFormat="1" ht="12.75">
      <c r="A92" s="86"/>
      <c r="B92" s="27"/>
      <c r="C92" s="27"/>
      <c r="D92" s="29"/>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row>
    <row r="93" spans="1:46" s="2" customFormat="1" ht="12.75">
      <c r="A93" s="86"/>
      <c r="B93" s="27"/>
      <c r="C93" s="27"/>
      <c r="D93" s="29"/>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row>
    <row r="94" spans="1:46" s="2" customFormat="1" ht="12.75">
      <c r="A94" s="86"/>
      <c r="B94" s="27"/>
      <c r="C94" s="27"/>
      <c r="D94" s="29"/>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row>
    <row r="95" spans="1:46" s="2" customFormat="1" ht="12.75">
      <c r="A95" s="86"/>
      <c r="B95" s="27"/>
      <c r="C95" s="27"/>
      <c r="D95" s="29"/>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row>
    <row r="96" spans="1:46" s="2" customFormat="1" ht="12.75">
      <c r="A96" s="86"/>
      <c r="B96" s="27"/>
      <c r="C96" s="27"/>
      <c r="D96" s="29"/>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row>
    <row r="97" spans="1:46" s="2" customFormat="1" ht="12.75">
      <c r="A97" s="86"/>
      <c r="B97" s="27"/>
      <c r="C97" s="27"/>
      <c r="D97" s="29"/>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row>
    <row r="98" spans="1:46" s="2" customFormat="1" ht="12.75">
      <c r="A98" s="86"/>
      <c r="B98" s="27"/>
      <c r="C98" s="27"/>
      <c r="D98" s="29"/>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row>
    <row r="99" spans="1:46" s="2" customFormat="1" ht="12.75">
      <c r="A99" s="86"/>
      <c r="B99" s="27"/>
      <c r="C99" s="27"/>
      <c r="D99" s="29"/>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row>
    <row r="100" spans="1:46" s="2" customFormat="1" ht="12.75">
      <c r="A100" s="86"/>
      <c r="B100" s="27"/>
      <c r="C100" s="27"/>
      <c r="D100" s="29"/>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row>
    <row r="101" spans="1:46" s="2" customFormat="1" ht="12.75">
      <c r="A101" s="85" t="s">
        <v>83</v>
      </c>
      <c r="B101" s="27" t="s">
        <v>245</v>
      </c>
      <c r="C101" s="27"/>
      <c r="D101" s="29"/>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row>
    <row r="102" spans="1:46" s="2" customFormat="1" ht="12.75">
      <c r="A102" s="85"/>
      <c r="B102" s="27"/>
      <c r="C102" s="27"/>
      <c r="D102" s="29"/>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row>
    <row r="103" spans="1:46" s="2" customFormat="1" ht="12.75">
      <c r="A103" s="86"/>
      <c r="B103" s="27" t="s">
        <v>227</v>
      </c>
      <c r="D103" s="29"/>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row>
    <row r="104" spans="1:46" s="2" customFormat="1" ht="12.75">
      <c r="A104" s="86"/>
      <c r="B104" s="29"/>
      <c r="C104" s="27"/>
      <c r="D104" s="29"/>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row>
    <row r="105" spans="1:46" s="2" customFormat="1" ht="12.75">
      <c r="A105" s="86"/>
      <c r="B105" s="29"/>
      <c r="C105" s="27"/>
      <c r="D105" s="29"/>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row>
    <row r="106" spans="1:46" s="2" customFormat="1" ht="12.75">
      <c r="A106" s="86"/>
      <c r="B106" s="29"/>
      <c r="C106" s="27"/>
      <c r="D106" s="29"/>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row>
    <row r="107" spans="1:46" s="2" customFormat="1" ht="12.75">
      <c r="A107" s="86"/>
      <c r="B107" s="29"/>
      <c r="C107" s="29"/>
      <c r="D107" s="29"/>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row>
    <row r="108" spans="1:46" s="2" customFormat="1" ht="12.75">
      <c r="A108" s="86"/>
      <c r="B108" s="29"/>
      <c r="C108" s="29"/>
      <c r="D108" s="29"/>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row>
    <row r="109" spans="1:46" s="2" customFormat="1" ht="12.75">
      <c r="A109" s="86"/>
      <c r="B109" s="29"/>
      <c r="C109" s="29"/>
      <c r="D109" s="29"/>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row>
    <row r="110" spans="1:46" s="2" customFormat="1" ht="12.75">
      <c r="A110" s="86"/>
      <c r="B110" s="29"/>
      <c r="C110" s="29"/>
      <c r="D110" s="29"/>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row>
    <row r="111" spans="1:46" s="2" customFormat="1" ht="12.75">
      <c r="A111" s="86"/>
      <c r="B111" s="29"/>
      <c r="C111" s="29" t="s">
        <v>159</v>
      </c>
      <c r="D111" s="29"/>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row>
    <row r="112" spans="1:46" s="2" customFormat="1" ht="12.75">
      <c r="A112" s="86"/>
      <c r="B112" s="29"/>
      <c r="C112" s="29"/>
      <c r="D112" s="29"/>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row>
    <row r="113" spans="1:46" s="2" customFormat="1" ht="12.75">
      <c r="A113" s="86"/>
      <c r="B113" s="29"/>
      <c r="C113" s="29"/>
      <c r="D113" s="29"/>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row>
    <row r="114" spans="1:46" s="2" customFormat="1" ht="12.75">
      <c r="A114" s="86"/>
      <c r="B114" s="29"/>
      <c r="C114" s="29"/>
      <c r="D114" s="29"/>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row>
    <row r="115" spans="1:46" s="2" customFormat="1" ht="12.75">
      <c r="A115" s="86"/>
      <c r="B115" s="29"/>
      <c r="C115" s="29"/>
      <c r="D115" s="29"/>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row>
    <row r="116" spans="1:46" s="2" customFormat="1" ht="12.75">
      <c r="A116" s="86"/>
      <c r="B116" s="29"/>
      <c r="C116" s="29"/>
      <c r="D116" s="29"/>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row>
    <row r="117" spans="1:46" s="2" customFormat="1" ht="12.75">
      <c r="A117" s="86"/>
      <c r="B117" s="29"/>
      <c r="C117" s="29"/>
      <c r="D117" s="29"/>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row>
    <row r="118" spans="1:46" s="2" customFormat="1" ht="12.75">
      <c r="A118" s="86"/>
      <c r="B118" s="29"/>
      <c r="C118" s="78" t="s">
        <v>159</v>
      </c>
      <c r="D118" s="29"/>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row>
    <row r="119" spans="1:46" s="2" customFormat="1" ht="12.75">
      <c r="A119" s="86"/>
      <c r="B119" s="29"/>
      <c r="C119" s="29"/>
      <c r="D119" s="29"/>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row>
    <row r="120" spans="1:46" s="2" customFormat="1" ht="12.75">
      <c r="A120" s="86"/>
      <c r="B120" s="29"/>
      <c r="C120" s="29"/>
      <c r="D120" s="29"/>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row>
    <row r="121" spans="1:46" s="2" customFormat="1" ht="12.75">
      <c r="A121" s="86"/>
      <c r="B121" s="29"/>
      <c r="C121" s="29"/>
      <c r="D121" s="29"/>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row>
    <row r="122" spans="1:46" s="2" customFormat="1" ht="12.75">
      <c r="A122" s="86"/>
      <c r="B122" s="29"/>
      <c r="C122" s="29"/>
      <c r="D122" s="29"/>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row>
    <row r="123" spans="1:46" s="2" customFormat="1" ht="12.75">
      <c r="A123" s="86"/>
      <c r="B123" s="29"/>
      <c r="C123" s="29"/>
      <c r="D123" s="29"/>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row>
    <row r="124" spans="1:46" s="2" customFormat="1" ht="12.75">
      <c r="A124" s="86"/>
      <c r="B124" s="29"/>
      <c r="C124" s="29" t="s">
        <v>159</v>
      </c>
      <c r="D124" s="29"/>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row>
    <row r="125" spans="1:46" s="2" customFormat="1" ht="12.75">
      <c r="A125" s="86"/>
      <c r="B125" s="29"/>
      <c r="C125" s="29"/>
      <c r="D125" s="29"/>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row>
    <row r="126" spans="1:46" s="2" customFormat="1" ht="12.75">
      <c r="A126" s="86"/>
      <c r="B126" s="29"/>
      <c r="C126" s="29"/>
      <c r="D126" s="29"/>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row>
    <row r="127" spans="1:46" s="2" customFormat="1" ht="12.75">
      <c r="A127" s="86"/>
      <c r="B127" s="29"/>
      <c r="C127" s="29"/>
      <c r="D127" s="29"/>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row>
    <row r="128" spans="1:46" s="2" customFormat="1" ht="12.75">
      <c r="A128" s="86"/>
      <c r="B128" s="29"/>
      <c r="C128" s="29"/>
      <c r="D128" s="29"/>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row>
    <row r="129" spans="1:46" s="2" customFormat="1" ht="40.5" customHeight="1">
      <c r="A129" s="86"/>
      <c r="B129" s="29"/>
      <c r="C129" s="29"/>
      <c r="D129" s="29"/>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row>
    <row r="130" spans="1:46" s="2" customFormat="1" ht="12.75">
      <c r="A130" s="86"/>
      <c r="B130" s="29"/>
      <c r="C130" s="29" t="s">
        <v>159</v>
      </c>
      <c r="D130" s="29"/>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row>
    <row r="131" spans="1:46" s="2" customFormat="1" ht="12.75">
      <c r="A131" s="86"/>
      <c r="B131" s="29"/>
      <c r="C131" s="29"/>
      <c r="D131" s="29"/>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row>
    <row r="132" spans="1:46" s="2" customFormat="1" ht="12.75">
      <c r="A132" s="86"/>
      <c r="B132" s="29"/>
      <c r="C132" s="29"/>
      <c r="D132" s="29"/>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row>
    <row r="133" spans="1:46" s="2" customFormat="1" ht="12.75">
      <c r="A133" s="86"/>
      <c r="B133" s="29"/>
      <c r="C133" s="29"/>
      <c r="D133" s="29"/>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row>
    <row r="134" spans="1:46" s="2" customFormat="1" ht="12.75">
      <c r="A134" s="86"/>
      <c r="B134" s="29"/>
      <c r="C134" s="29"/>
      <c r="D134" s="29"/>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row>
    <row r="135" spans="1:46" s="2" customFormat="1" ht="12.75">
      <c r="A135" s="86"/>
      <c r="B135" s="29"/>
      <c r="C135" s="29" t="s">
        <v>159</v>
      </c>
      <c r="D135" s="29"/>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row>
    <row r="136" spans="1:46" s="2" customFormat="1" ht="12.75">
      <c r="A136" s="86"/>
      <c r="B136" s="29"/>
      <c r="C136" s="29"/>
      <c r="D136" s="29"/>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row>
    <row r="137" spans="1:46" s="2" customFormat="1" ht="12.75">
      <c r="A137" s="86"/>
      <c r="B137" s="29"/>
      <c r="C137" s="29"/>
      <c r="D137" s="29"/>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row>
    <row r="138" spans="1:46" s="2" customFormat="1" ht="12.75">
      <c r="A138" s="86"/>
      <c r="B138" s="29"/>
      <c r="C138" s="29"/>
      <c r="D138" s="29"/>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row>
    <row r="139" spans="1:46" s="2" customFormat="1" ht="12.75">
      <c r="A139" s="86"/>
      <c r="B139" s="29"/>
      <c r="C139" s="29" t="s">
        <v>159</v>
      </c>
      <c r="D139" s="29"/>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row>
    <row r="140" spans="1:46" s="2" customFormat="1" ht="12.75">
      <c r="A140" s="86"/>
      <c r="B140" s="29"/>
      <c r="C140" s="29"/>
      <c r="D140" s="29"/>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row>
    <row r="141" spans="1:46" s="2" customFormat="1" ht="12.75">
      <c r="A141" s="86"/>
      <c r="B141" s="29"/>
      <c r="C141" s="29"/>
      <c r="D141" s="29"/>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row>
    <row r="142" spans="1:46" s="2" customFormat="1" ht="12.75">
      <c r="A142" s="86"/>
      <c r="B142" s="29"/>
      <c r="C142" s="29" t="s">
        <v>159</v>
      </c>
      <c r="D142" s="29"/>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row>
    <row r="143" spans="1:46" s="2" customFormat="1" ht="12.75">
      <c r="A143" s="86"/>
      <c r="B143" s="29"/>
      <c r="C143" s="29"/>
      <c r="D143" s="29"/>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row>
    <row r="144" spans="1:46" s="2" customFormat="1" ht="12.75">
      <c r="A144" s="86"/>
      <c r="B144" s="29"/>
      <c r="C144" s="29"/>
      <c r="D144" s="29"/>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row>
    <row r="145" spans="1:46" s="2" customFormat="1" ht="12.75">
      <c r="A145" s="86"/>
      <c r="B145" s="29"/>
      <c r="C145" s="29" t="s">
        <v>159</v>
      </c>
      <c r="D145" s="29"/>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row>
    <row r="146" spans="1:46" s="2" customFormat="1" ht="12.75">
      <c r="A146" s="86"/>
      <c r="B146" s="29"/>
      <c r="C146" s="29"/>
      <c r="D146" s="29"/>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row>
    <row r="147" spans="1:46" s="2" customFormat="1" ht="12.75">
      <c r="A147" s="86"/>
      <c r="B147" s="29"/>
      <c r="C147" s="29"/>
      <c r="D147" s="29"/>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row>
    <row r="148" spans="1:46" s="2" customFormat="1" ht="12.75">
      <c r="A148" s="86"/>
      <c r="B148" s="29"/>
      <c r="C148" s="29"/>
      <c r="D148" s="29"/>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row>
    <row r="149" spans="1:46" s="2" customFormat="1" ht="12.75">
      <c r="A149" s="85" t="s">
        <v>83</v>
      </c>
      <c r="B149" s="27" t="s">
        <v>245</v>
      </c>
      <c r="C149" s="27"/>
      <c r="D149" s="29"/>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row>
    <row r="150" spans="1:46" s="2" customFormat="1" ht="12.75">
      <c r="A150" s="85"/>
      <c r="B150" s="27"/>
      <c r="C150" s="27"/>
      <c r="D150" s="29"/>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row>
    <row r="151" spans="1:46" s="2" customFormat="1" ht="12.75">
      <c r="A151" s="86"/>
      <c r="B151" s="27" t="s">
        <v>227</v>
      </c>
      <c r="D151" s="29"/>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row>
    <row r="152" spans="1:46" s="2" customFormat="1" ht="12.75">
      <c r="A152" s="86"/>
      <c r="B152" s="29"/>
      <c r="C152" s="29"/>
      <c r="D152" s="29"/>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row>
    <row r="153" spans="1:46" s="2" customFormat="1" ht="12.75">
      <c r="A153" s="86"/>
      <c r="B153" s="29"/>
      <c r="C153" s="29"/>
      <c r="D153" s="29"/>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row>
    <row r="154" spans="1:46" s="2" customFormat="1" ht="12.75">
      <c r="A154" s="86"/>
      <c r="B154" s="29"/>
      <c r="C154" s="29"/>
      <c r="D154" s="29"/>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row>
    <row r="155" spans="1:46" s="2" customFormat="1" ht="12.75">
      <c r="A155" s="86"/>
      <c r="B155" s="29"/>
      <c r="C155" s="29"/>
      <c r="D155" s="29"/>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row>
    <row r="156" spans="1:46" s="2" customFormat="1" ht="12.75">
      <c r="A156" s="86"/>
      <c r="B156" s="29"/>
      <c r="C156" s="29"/>
      <c r="D156" s="29"/>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row>
    <row r="157" spans="1:46" s="2" customFormat="1" ht="12.75">
      <c r="A157" s="86"/>
      <c r="B157" s="29"/>
      <c r="C157" s="29"/>
      <c r="D157" s="29"/>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row>
    <row r="158" spans="1:46" s="2" customFormat="1" ht="12.75">
      <c r="A158" s="86"/>
      <c r="B158" s="29"/>
      <c r="C158" s="29"/>
      <c r="D158" s="29"/>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row>
    <row r="159" spans="1:46" s="2" customFormat="1" ht="12.75">
      <c r="A159" s="86"/>
      <c r="B159" s="29"/>
      <c r="C159" s="29"/>
      <c r="D159" s="29"/>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row>
    <row r="160" spans="1:46" s="2" customFormat="1" ht="12.75">
      <c r="A160" s="86"/>
      <c r="B160" s="29"/>
      <c r="C160" s="29"/>
      <c r="D160" s="29"/>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row>
    <row r="161" spans="1:46" s="2" customFormat="1" ht="12.75">
      <c r="A161" s="86"/>
      <c r="B161" s="29"/>
      <c r="C161" s="29"/>
      <c r="D161" s="29"/>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row>
    <row r="162" spans="1:46" s="2" customFormat="1" ht="12.75">
      <c r="A162" s="86"/>
      <c r="B162" s="29"/>
      <c r="C162" s="29"/>
      <c r="D162" s="29"/>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row>
    <row r="163" spans="1:46" s="2" customFormat="1" ht="12.75">
      <c r="A163" s="86"/>
      <c r="B163" s="29"/>
      <c r="C163" s="29"/>
      <c r="D163" s="29"/>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row>
    <row r="164" spans="1:46" s="2" customFormat="1" ht="12.75">
      <c r="A164" s="86"/>
      <c r="B164" s="29"/>
      <c r="C164" s="29"/>
      <c r="D164" s="29"/>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row>
    <row r="165" spans="1:46" s="2" customFormat="1" ht="12.75">
      <c r="A165" s="86"/>
      <c r="B165" s="29"/>
      <c r="C165" s="29"/>
      <c r="D165" s="29"/>
      <c r="E165" s="25"/>
      <c r="F165" s="25"/>
      <c r="G165" s="25"/>
      <c r="H165" s="25"/>
      <c r="I165" s="25"/>
      <c r="J165" s="104"/>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row>
    <row r="166" spans="1:46" s="2" customFormat="1" ht="12.75">
      <c r="A166" s="86"/>
      <c r="B166" s="29"/>
      <c r="C166" s="29"/>
      <c r="D166" s="29"/>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row>
    <row r="167" spans="1:46" s="2" customFormat="1" ht="12.75">
      <c r="A167" s="86"/>
      <c r="B167" s="29"/>
      <c r="C167" s="29"/>
      <c r="D167" s="29"/>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row>
    <row r="168" spans="1:46" s="2" customFormat="1" ht="12.75">
      <c r="A168" s="86"/>
      <c r="B168" s="29"/>
      <c r="C168" s="29"/>
      <c r="D168" s="29"/>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row>
    <row r="169" spans="1:46" s="2" customFormat="1" ht="12.75">
      <c r="A169" s="86"/>
      <c r="B169" s="29"/>
      <c r="C169" s="29"/>
      <c r="D169" s="29"/>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row>
    <row r="170" spans="1:46" s="2" customFormat="1" ht="12.75">
      <c r="A170" s="86"/>
      <c r="B170" s="29"/>
      <c r="C170" s="29"/>
      <c r="D170" s="29"/>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row>
    <row r="171" spans="1:46" s="2" customFormat="1" ht="12.75">
      <c r="A171" s="86"/>
      <c r="B171" s="29"/>
      <c r="C171" s="29"/>
      <c r="D171" s="29"/>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row>
    <row r="172" spans="1:46" s="2" customFormat="1" ht="12.75">
      <c r="A172" s="86"/>
      <c r="B172" s="29"/>
      <c r="C172" s="29"/>
      <c r="D172" s="29"/>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row>
    <row r="173" spans="1:46" s="2" customFormat="1" ht="12.75">
      <c r="A173" s="86"/>
      <c r="B173" s="29"/>
      <c r="C173" s="29"/>
      <c r="D173" s="29"/>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row>
    <row r="174" spans="1:46" s="2" customFormat="1" ht="12.75">
      <c r="A174" s="86"/>
      <c r="B174" s="29"/>
      <c r="C174" s="29"/>
      <c r="D174" s="29"/>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row>
    <row r="175" spans="1:46" s="2" customFormat="1" ht="12.75">
      <c r="A175" s="86"/>
      <c r="B175" s="29"/>
      <c r="C175" s="29"/>
      <c r="D175" s="29"/>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row>
    <row r="176" spans="1:46" s="2" customFormat="1" ht="12.75">
      <c r="A176" s="86"/>
      <c r="B176" s="29"/>
      <c r="C176" s="29"/>
      <c r="D176" s="29"/>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row>
    <row r="177" spans="1:46" s="2" customFormat="1" ht="12.75">
      <c r="A177" s="86"/>
      <c r="B177" s="29"/>
      <c r="C177" s="29"/>
      <c r="D177" s="29"/>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row>
    <row r="178" spans="1:46" s="2" customFormat="1" ht="12.75">
      <c r="A178" s="86"/>
      <c r="B178" s="29"/>
      <c r="C178" s="29"/>
      <c r="D178" s="29"/>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row>
    <row r="179" spans="1:46" s="2" customFormat="1" ht="12.75">
      <c r="A179" s="86"/>
      <c r="B179" s="29"/>
      <c r="C179" s="29"/>
      <c r="D179" s="29"/>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row>
    <row r="180" spans="1:46" s="2" customFormat="1" ht="12.75">
      <c r="A180" s="86"/>
      <c r="B180" s="29"/>
      <c r="C180" s="29"/>
      <c r="D180" s="29"/>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row>
    <row r="181" spans="1:46" s="2" customFormat="1" ht="12.75">
      <c r="A181" s="86"/>
      <c r="B181" s="29"/>
      <c r="C181" s="29"/>
      <c r="D181" s="29"/>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row>
    <row r="182" spans="1:46" s="2" customFormat="1" ht="12.75">
      <c r="A182" s="86"/>
      <c r="B182" s="29"/>
      <c r="C182" s="29"/>
      <c r="D182" s="29"/>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row>
    <row r="183" spans="1:46" s="2" customFormat="1" ht="12.75">
      <c r="A183" s="86"/>
      <c r="B183" s="29"/>
      <c r="C183" s="29"/>
      <c r="D183" s="29"/>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row>
    <row r="184" spans="1:46" s="2" customFormat="1" ht="12.75">
      <c r="A184" s="86"/>
      <c r="B184" s="29"/>
      <c r="C184" s="29"/>
      <c r="D184" s="29"/>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row>
    <row r="185" spans="1:46" s="2" customFormat="1" ht="12.75">
      <c r="A185" s="86"/>
      <c r="B185" s="29"/>
      <c r="C185" s="29"/>
      <c r="D185" s="29"/>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row>
    <row r="186" spans="1:46" s="2" customFormat="1" ht="12.75">
      <c r="A186" s="86"/>
      <c r="B186" s="29"/>
      <c r="C186" s="29"/>
      <c r="D186" s="29"/>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row>
    <row r="187" spans="1:46" s="2" customFormat="1" ht="12.75">
      <c r="A187" s="86"/>
      <c r="B187" s="27"/>
      <c r="C187" s="27"/>
      <c r="D187" s="29"/>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row>
    <row r="188" spans="1:46" s="2" customFormat="1" ht="12.75">
      <c r="A188" s="86"/>
      <c r="B188" s="27"/>
      <c r="C188" s="27"/>
      <c r="D188" s="29"/>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row>
    <row r="189" spans="1:46" s="2" customFormat="1" ht="12.75">
      <c r="A189" s="86"/>
      <c r="B189" s="27"/>
      <c r="C189" s="27"/>
      <c r="D189" s="29"/>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row>
    <row r="190" spans="1:46" s="2" customFormat="1" ht="12.75">
      <c r="A190" s="86"/>
      <c r="B190" s="27"/>
      <c r="C190" s="27"/>
      <c r="D190" s="29"/>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row>
    <row r="191" spans="1:46" s="2" customFormat="1" ht="12.75">
      <c r="A191" s="86"/>
      <c r="B191" s="27"/>
      <c r="C191" s="27"/>
      <c r="D191" s="29"/>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row>
    <row r="192" spans="1:46" s="2" customFormat="1" ht="12.75">
      <c r="A192" s="86"/>
      <c r="B192" s="27"/>
      <c r="C192" s="27"/>
      <c r="D192" s="29"/>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row>
    <row r="193" spans="1:46" s="2" customFormat="1" ht="12.75">
      <c r="A193" s="86"/>
      <c r="B193" s="27"/>
      <c r="C193" s="27"/>
      <c r="D193" s="29"/>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row>
    <row r="194" spans="1:46" s="2" customFormat="1" ht="12.75">
      <c r="A194" s="86"/>
      <c r="B194" s="27"/>
      <c r="C194" s="27"/>
      <c r="D194" s="29"/>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row>
    <row r="195" spans="1:46" s="2" customFormat="1" ht="12.75">
      <c r="A195" s="86"/>
      <c r="B195" s="27"/>
      <c r="C195" s="27"/>
      <c r="D195" s="29"/>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row>
    <row r="196" spans="1:46" s="2" customFormat="1" ht="12.75">
      <c r="A196" s="86"/>
      <c r="B196" s="27"/>
      <c r="C196" s="27"/>
      <c r="D196" s="29"/>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row>
    <row r="197" spans="1:46" s="2" customFormat="1" ht="12.75">
      <c r="A197" s="86"/>
      <c r="B197" s="27"/>
      <c r="C197" s="27"/>
      <c r="D197" s="29"/>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row>
    <row r="198" spans="1:46" s="2" customFormat="1" ht="12.75">
      <c r="A198" s="86"/>
      <c r="B198" s="27"/>
      <c r="C198" s="27"/>
      <c r="D198" s="29"/>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row>
    <row r="199" spans="1:46" s="2" customFormat="1" ht="12.75">
      <c r="A199" s="85" t="s">
        <v>83</v>
      </c>
      <c r="B199" s="27" t="s">
        <v>245</v>
      </c>
      <c r="C199" s="27"/>
      <c r="D199" s="29"/>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row>
    <row r="200" spans="1:46" s="2" customFormat="1" ht="12.75">
      <c r="A200" s="85"/>
      <c r="B200" s="27"/>
      <c r="C200" s="27"/>
      <c r="D200" s="29"/>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row>
    <row r="201" spans="1:46" s="2" customFormat="1" ht="12.75">
      <c r="A201" s="86"/>
      <c r="B201" s="27" t="s">
        <v>227</v>
      </c>
      <c r="C201" s="27"/>
      <c r="D201" s="29"/>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row>
    <row r="202" spans="1:46" s="2" customFormat="1" ht="12.75">
      <c r="A202" s="86"/>
      <c r="B202" s="27"/>
      <c r="C202" s="27"/>
      <c r="D202" s="29"/>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row>
    <row r="203" spans="1:46" s="2" customFormat="1" ht="12.75">
      <c r="A203" s="86"/>
      <c r="B203" s="27"/>
      <c r="C203" s="27"/>
      <c r="D203" s="29"/>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row>
    <row r="204" spans="1:46" s="2" customFormat="1" ht="12.75">
      <c r="A204" s="86"/>
      <c r="B204" s="27"/>
      <c r="C204" s="27"/>
      <c r="D204" s="29"/>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row>
    <row r="205" spans="1:46" s="2" customFormat="1" ht="12.75">
      <c r="A205" s="86"/>
      <c r="B205" s="27"/>
      <c r="C205" s="27"/>
      <c r="D205" s="29"/>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row>
    <row r="206" spans="1:46" s="2" customFormat="1" ht="12.75">
      <c r="A206" s="86"/>
      <c r="B206" s="27"/>
      <c r="C206" s="27"/>
      <c r="D206" s="29"/>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row>
    <row r="207" spans="1:46" s="2" customFormat="1" ht="12.75">
      <c r="A207" s="86"/>
      <c r="B207" s="27"/>
      <c r="C207" s="27"/>
      <c r="D207" s="29"/>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row>
    <row r="208" spans="1:46" s="2" customFormat="1" ht="12.75">
      <c r="A208" s="86"/>
      <c r="B208" s="27"/>
      <c r="C208" s="27"/>
      <c r="D208" s="29"/>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row>
    <row r="209" spans="1:46" s="2" customFormat="1" ht="12.75">
      <c r="A209" s="86"/>
      <c r="B209" s="27"/>
      <c r="C209" s="27"/>
      <c r="D209" s="29"/>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row>
    <row r="210" spans="1:46" s="2" customFormat="1" ht="12.75">
      <c r="A210" s="86"/>
      <c r="B210" s="27"/>
      <c r="C210" s="27"/>
      <c r="D210" s="29"/>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row>
    <row r="211" spans="1:46" s="2" customFormat="1" ht="12.75">
      <c r="A211" s="86"/>
      <c r="B211" s="27"/>
      <c r="C211" s="27"/>
      <c r="D211" s="29"/>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row>
    <row r="212" spans="1:46" s="2" customFormat="1" ht="12.75">
      <c r="A212" s="86"/>
      <c r="B212" s="27"/>
      <c r="C212" s="27"/>
      <c r="D212" s="29"/>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row>
    <row r="213" spans="1:46" s="2" customFormat="1" ht="12.75">
      <c r="A213" s="86"/>
      <c r="B213" s="27"/>
      <c r="C213" s="27"/>
      <c r="D213" s="29"/>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row>
    <row r="214" spans="1:46" s="2" customFormat="1" ht="12.75">
      <c r="A214" s="86"/>
      <c r="B214" s="27"/>
      <c r="C214" s="27"/>
      <c r="D214" s="29"/>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row>
    <row r="215" spans="1:46" s="2" customFormat="1" ht="12.75">
      <c r="A215" s="86"/>
      <c r="B215" s="27"/>
      <c r="C215" s="27"/>
      <c r="D215" s="29"/>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row>
    <row r="216" spans="1:46" s="2" customFormat="1" ht="12.75">
      <c r="A216" s="86"/>
      <c r="B216" s="27"/>
      <c r="C216" s="27"/>
      <c r="D216" s="29"/>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row>
    <row r="217" spans="1:46" s="2" customFormat="1" ht="12.75">
      <c r="A217" s="86"/>
      <c r="B217" s="27"/>
      <c r="C217" s="27"/>
      <c r="D217" s="29"/>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row>
    <row r="218" spans="1:46" s="2" customFormat="1" ht="12.75">
      <c r="A218" s="86"/>
      <c r="B218" s="27"/>
      <c r="C218" s="27"/>
      <c r="D218" s="29"/>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row>
    <row r="219" spans="1:46" s="2" customFormat="1" ht="12.75">
      <c r="A219" s="86"/>
      <c r="B219" s="27"/>
      <c r="C219" s="27"/>
      <c r="D219" s="29"/>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row>
    <row r="220" spans="1:46" s="2" customFormat="1" ht="12.75">
      <c r="A220" s="86"/>
      <c r="B220" s="27"/>
      <c r="C220" s="27"/>
      <c r="D220" s="29"/>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row>
    <row r="221" spans="1:46" s="2" customFormat="1" ht="12.75">
      <c r="A221" s="86"/>
      <c r="B221" s="27"/>
      <c r="C221" s="27"/>
      <c r="D221" s="29"/>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row>
    <row r="222" spans="1:46" s="2" customFormat="1" ht="12.75">
      <c r="A222" s="86"/>
      <c r="B222" s="27"/>
      <c r="C222" s="27"/>
      <c r="D222" s="29"/>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row>
    <row r="223" spans="1:46" s="2" customFormat="1" ht="12.75">
      <c r="A223" s="86"/>
      <c r="B223" s="27" t="s">
        <v>220</v>
      </c>
      <c r="C223" s="27"/>
      <c r="D223" s="29"/>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row>
    <row r="224" spans="1:46" s="2" customFormat="1" ht="12.75">
      <c r="A224" s="86"/>
      <c r="B224" s="27"/>
      <c r="C224" s="27"/>
      <c r="D224" s="29"/>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row>
    <row r="225" spans="1:46" s="2" customFormat="1" ht="12.75">
      <c r="A225" s="86"/>
      <c r="B225" s="27"/>
      <c r="C225" s="27"/>
      <c r="D225" s="29"/>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row>
    <row r="226" spans="1:46" s="2" customFormat="1" ht="12.75">
      <c r="A226" s="86"/>
      <c r="B226" s="27"/>
      <c r="C226" s="27"/>
      <c r="D226" s="29"/>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row>
    <row r="227" spans="1:46" s="2" customFormat="1" ht="12.75">
      <c r="A227" s="86"/>
      <c r="B227" s="27"/>
      <c r="C227" s="27"/>
      <c r="D227" s="29"/>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row>
    <row r="228" spans="1:46" s="2" customFormat="1" ht="12.75">
      <c r="A228" s="86"/>
      <c r="B228" s="27"/>
      <c r="C228" s="27"/>
      <c r="D228" s="29"/>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row>
    <row r="229" spans="1:9" s="2" customFormat="1" ht="12.75">
      <c r="A229" s="27"/>
      <c r="I229" s="24"/>
    </row>
    <row r="230" spans="1:9" s="2" customFormat="1" ht="12.75">
      <c r="A230" s="27"/>
      <c r="I230" s="24"/>
    </row>
    <row r="231" spans="1:9" s="2" customFormat="1" ht="12.75">
      <c r="A231" s="27"/>
      <c r="I231" s="24"/>
    </row>
    <row r="232" spans="1:9" s="2" customFormat="1" ht="12.75">
      <c r="A232" s="27"/>
      <c r="I232" s="24"/>
    </row>
    <row r="233" spans="1:9" s="2" customFormat="1" ht="12.75">
      <c r="A233" s="27"/>
      <c r="I233" s="24"/>
    </row>
    <row r="234" spans="1:9" s="2" customFormat="1" ht="12.75">
      <c r="A234" s="27"/>
      <c r="I234" s="24"/>
    </row>
    <row r="235" spans="1:9" s="2" customFormat="1" ht="12.75">
      <c r="A235" s="27"/>
      <c r="I235" s="24"/>
    </row>
    <row r="236" spans="1:9" s="2" customFormat="1" ht="12.75">
      <c r="A236" s="27"/>
      <c r="I236" s="24"/>
    </row>
    <row r="237" spans="1:9" s="2" customFormat="1" ht="12.75">
      <c r="A237" s="27"/>
      <c r="I237" s="24"/>
    </row>
    <row r="238" spans="1:9" s="2" customFormat="1" ht="12.75">
      <c r="A238" s="27"/>
      <c r="I238" s="24"/>
    </row>
    <row r="239" spans="1:9" s="2" customFormat="1" ht="12.75">
      <c r="A239" s="27"/>
      <c r="I239" s="24"/>
    </row>
    <row r="240" spans="1:9" s="2" customFormat="1" ht="12.75">
      <c r="A240" s="27"/>
      <c r="I240" s="24"/>
    </row>
    <row r="241" spans="1:9" s="2" customFormat="1" ht="12.75">
      <c r="A241" s="27"/>
      <c r="I241" s="24"/>
    </row>
    <row r="242" spans="1:9" s="2" customFormat="1" ht="12.75">
      <c r="A242" s="27"/>
      <c r="I242" s="24"/>
    </row>
    <row r="243" spans="1:9" s="2" customFormat="1" ht="12.75">
      <c r="A243" s="27"/>
      <c r="I243" s="24"/>
    </row>
    <row r="244" spans="1:9" s="2" customFormat="1" ht="12.75">
      <c r="A244" s="27"/>
      <c r="I244" s="24"/>
    </row>
    <row r="245" spans="1:9" s="2" customFormat="1" ht="12.75">
      <c r="A245" s="27"/>
      <c r="I245" s="24"/>
    </row>
    <row r="246" spans="1:46" s="2" customFormat="1" ht="12.75">
      <c r="A246" s="85" t="s">
        <v>84</v>
      </c>
      <c r="B246" s="27" t="s">
        <v>91</v>
      </c>
      <c r="C246" s="27"/>
      <c r="D246" s="29"/>
      <c r="E246" s="25"/>
      <c r="F246" s="25"/>
      <c r="G246" s="25"/>
      <c r="H246" s="25"/>
      <c r="I246" s="29"/>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row>
    <row r="247" spans="1:46" s="2" customFormat="1" ht="12.75">
      <c r="A247" s="86"/>
      <c r="B247" s="27"/>
      <c r="C247" s="27"/>
      <c r="D247" s="29"/>
      <c r="E247" s="25"/>
      <c r="F247" s="25"/>
      <c r="G247" s="25"/>
      <c r="H247" s="25"/>
      <c r="I247" s="29"/>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row>
    <row r="248" spans="1:46" s="2" customFormat="1" ht="12.75">
      <c r="A248" s="85"/>
      <c r="C248" s="29"/>
      <c r="D248" s="29"/>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row>
    <row r="249" spans="1:46" s="2" customFormat="1" ht="12.75">
      <c r="A249" s="85"/>
      <c r="C249" s="29"/>
      <c r="D249" s="29"/>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row>
    <row r="250" spans="1:46" s="2" customFormat="1" ht="12.75">
      <c r="A250" s="86"/>
      <c r="B250" s="29"/>
      <c r="C250" s="29"/>
      <c r="D250" s="29"/>
      <c r="E250" s="52"/>
      <c r="F250" s="43" t="s">
        <v>92</v>
      </c>
      <c r="G250" s="43" t="s">
        <v>93</v>
      </c>
      <c r="H250" s="43"/>
      <c r="I250" s="43" t="s">
        <v>27</v>
      </c>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row>
    <row r="251" spans="1:46" s="2" customFormat="1" ht="12.75">
      <c r="A251" s="86"/>
      <c r="B251" s="29"/>
      <c r="C251" s="29"/>
      <c r="D251" s="29"/>
      <c r="E251" s="52"/>
      <c r="F251" s="52" t="s">
        <v>28</v>
      </c>
      <c r="G251" s="52" t="s">
        <v>28</v>
      </c>
      <c r="H251" s="52"/>
      <c r="I251" s="52" t="s">
        <v>28</v>
      </c>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row>
    <row r="252" spans="1:46" s="2" customFormat="1" ht="12.75">
      <c r="A252" s="86"/>
      <c r="B252" s="29"/>
      <c r="C252" s="29"/>
      <c r="D252" s="29"/>
      <c r="E252" s="35"/>
      <c r="F252" s="35"/>
      <c r="G252" s="35"/>
      <c r="H252" s="35"/>
      <c r="I252" s="29"/>
      <c r="J252" s="17"/>
      <c r="K252" s="17"/>
      <c r="L252" s="17"/>
      <c r="M252" s="17"/>
      <c r="N252" s="17"/>
      <c r="O252" s="17"/>
      <c r="P252" s="17"/>
      <c r="Q252" s="17"/>
      <c r="R252" s="17"/>
      <c r="S252" s="17"/>
      <c r="T252" s="17"/>
      <c r="U252" s="17"/>
      <c r="V252" s="17"/>
      <c r="W252" s="17"/>
      <c r="X252" s="17"/>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row>
    <row r="253" spans="1:46" s="2" customFormat="1" ht="12.75">
      <c r="A253" s="86"/>
      <c r="B253" s="29" t="s">
        <v>162</v>
      </c>
      <c r="C253" s="29"/>
      <c r="D253" s="29"/>
      <c r="E253" s="32"/>
      <c r="F253" s="32">
        <v>3480206</v>
      </c>
      <c r="G253" s="35"/>
      <c r="H253" s="35"/>
      <c r="I253" s="66">
        <f>F253+G253</f>
        <v>3480206</v>
      </c>
      <c r="J253" s="17"/>
      <c r="K253" s="17"/>
      <c r="L253" s="17"/>
      <c r="M253" s="17"/>
      <c r="N253" s="17"/>
      <c r="O253" s="17"/>
      <c r="P253" s="17"/>
      <c r="Q253" s="17"/>
      <c r="R253" s="17"/>
      <c r="S253" s="17"/>
      <c r="T253" s="17"/>
      <c r="U253" s="17"/>
      <c r="V253" s="17"/>
      <c r="W253" s="17"/>
      <c r="X253" s="17"/>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row>
    <row r="254" spans="1:46" s="2" customFormat="1" ht="12.75">
      <c r="A254" s="86"/>
      <c r="B254" s="29" t="s">
        <v>163</v>
      </c>
      <c r="C254" s="29"/>
      <c r="D254" s="29"/>
      <c r="E254" s="32"/>
      <c r="F254" s="32">
        <v>5766180</v>
      </c>
      <c r="G254" s="34">
        <v>0</v>
      </c>
      <c r="H254" s="34"/>
      <c r="I254" s="66">
        <f>F254+G254</f>
        <v>5766180</v>
      </c>
      <c r="J254" s="17"/>
      <c r="K254" s="17"/>
      <c r="L254" s="17"/>
      <c r="M254" s="17"/>
      <c r="N254" s="17"/>
      <c r="O254" s="17"/>
      <c r="P254" s="17"/>
      <c r="Q254" s="17"/>
      <c r="R254" s="17"/>
      <c r="S254" s="17"/>
      <c r="T254" s="17"/>
      <c r="U254" s="17"/>
      <c r="V254" s="17"/>
      <c r="W254" s="17"/>
      <c r="X254" s="17"/>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row>
    <row r="255" spans="1:9" ht="13.5" thickBot="1">
      <c r="A255" s="86"/>
      <c r="B255" s="29" t="s">
        <v>27</v>
      </c>
      <c r="E255" s="56"/>
      <c r="F255" s="81">
        <f>SUM(F253:F254)</f>
        <v>9246386</v>
      </c>
      <c r="G255" s="81">
        <f>SUM(G253:G254)</f>
        <v>0</v>
      </c>
      <c r="H255" s="81"/>
      <c r="I255" s="81">
        <f>SUM(I253:I254)</f>
        <v>9246386</v>
      </c>
    </row>
    <row r="256" spans="1:9" ht="12.75">
      <c r="A256" s="86"/>
      <c r="B256" s="29"/>
      <c r="E256" s="56"/>
      <c r="F256" s="56"/>
      <c r="G256" s="56"/>
      <c r="H256" s="56"/>
      <c r="I256" s="56"/>
    </row>
    <row r="257" spans="1:46" s="2" customFormat="1" ht="12.75">
      <c r="A257" s="85" t="s">
        <v>85</v>
      </c>
      <c r="B257" s="27" t="s">
        <v>37</v>
      </c>
      <c r="C257" s="27"/>
      <c r="D257" s="29"/>
      <c r="E257" s="25"/>
      <c r="F257" s="25"/>
      <c r="G257" s="25"/>
      <c r="H257" s="25"/>
      <c r="I257" s="29"/>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row>
    <row r="258" spans="1:46" s="2" customFormat="1" ht="12.75">
      <c r="A258" s="18"/>
      <c r="B258" s="27"/>
      <c r="C258" s="27"/>
      <c r="D258" s="29"/>
      <c r="E258" s="25"/>
      <c r="F258" s="25"/>
      <c r="G258" s="25"/>
      <c r="H258" s="25"/>
      <c r="I258" s="29"/>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row>
    <row r="259" spans="1:46" s="2" customFormat="1" ht="12.75">
      <c r="A259" s="85"/>
      <c r="I259" s="29"/>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row>
    <row r="260" spans="1:46" s="2" customFormat="1" ht="12.75">
      <c r="A260" s="85"/>
      <c r="I260" s="29"/>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row>
    <row r="261" spans="1:46" s="2" customFormat="1" ht="12.75">
      <c r="A261" s="86"/>
      <c r="I261" s="29"/>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row>
    <row r="262" spans="1:46" s="2" customFormat="1" ht="12.75">
      <c r="A262" s="85" t="s">
        <v>86</v>
      </c>
      <c r="B262" s="27" t="s">
        <v>38</v>
      </c>
      <c r="C262" s="27"/>
      <c r="D262" s="29"/>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row>
    <row r="263" spans="1:46" s="2" customFormat="1" ht="12.75">
      <c r="A263" s="86"/>
      <c r="B263" s="27"/>
      <c r="C263" s="27"/>
      <c r="D263" s="29"/>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row>
    <row r="264" spans="1:46" s="2" customFormat="1" ht="12.75">
      <c r="A264" s="85"/>
      <c r="B264" s="27"/>
      <c r="C264" s="27"/>
      <c r="D264" s="29"/>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row>
    <row r="265" spans="1:46" s="2" customFormat="1" ht="12.75">
      <c r="A265" s="85"/>
      <c r="B265" s="27"/>
      <c r="C265" s="27"/>
      <c r="D265" s="29"/>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row>
    <row r="266" spans="1:46" s="2" customFormat="1" ht="12.75">
      <c r="A266" s="85"/>
      <c r="B266" s="27"/>
      <c r="C266" s="27"/>
      <c r="D266" s="29"/>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row>
    <row r="267" spans="1:46" s="2" customFormat="1" ht="12.75">
      <c r="A267" s="85"/>
      <c r="B267" s="2" t="s">
        <v>247</v>
      </c>
      <c r="I267" s="34"/>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row>
    <row r="268" spans="1:46" s="2" customFormat="1" ht="12.75">
      <c r="A268" s="85"/>
      <c r="I268" s="34"/>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row>
    <row r="269" spans="1:46" s="2" customFormat="1" ht="12.75">
      <c r="A269" s="86"/>
      <c r="I269" s="34"/>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row>
    <row r="270" spans="1:46" s="2" customFormat="1" ht="12.75">
      <c r="A270" s="86"/>
      <c r="I270" s="34"/>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row>
    <row r="271" spans="1:46" s="2" customFormat="1" ht="12.75">
      <c r="A271" s="86"/>
      <c r="B271" s="29"/>
      <c r="C271" s="29"/>
      <c r="D271" s="29"/>
      <c r="E271" s="25"/>
      <c r="F271" s="25"/>
      <c r="G271" s="25"/>
      <c r="H271" s="25"/>
      <c r="I271" s="29"/>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row>
    <row r="272" spans="1:46" s="2" customFormat="1" ht="12.75">
      <c r="A272" s="86"/>
      <c r="B272" s="29"/>
      <c r="C272" s="29"/>
      <c r="D272" s="29"/>
      <c r="E272" s="25"/>
      <c r="F272" s="25"/>
      <c r="G272" s="25"/>
      <c r="H272" s="25"/>
      <c r="I272" s="29"/>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row>
    <row r="273" spans="1:46" s="2" customFormat="1" ht="12.75">
      <c r="A273" s="86"/>
      <c r="B273" s="29"/>
      <c r="C273" s="29"/>
      <c r="D273" s="29"/>
      <c r="E273" s="25"/>
      <c r="F273" s="25"/>
      <c r="G273" s="25"/>
      <c r="H273" s="25"/>
      <c r="I273" s="29"/>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row>
    <row r="274" spans="1:46" s="2" customFormat="1" ht="12.75">
      <c r="A274" s="86"/>
      <c r="B274" s="29"/>
      <c r="C274" s="29"/>
      <c r="D274" s="29"/>
      <c r="E274" s="25"/>
      <c r="F274" s="25"/>
      <c r="G274" s="25"/>
      <c r="H274" s="25"/>
      <c r="I274" s="29"/>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row>
    <row r="275" spans="1:46" s="2" customFormat="1" ht="12.75">
      <c r="A275" s="86"/>
      <c r="B275" s="29"/>
      <c r="C275" s="29"/>
      <c r="D275" s="29"/>
      <c r="E275" s="25"/>
      <c r="F275" s="25"/>
      <c r="G275" s="25"/>
      <c r="H275" s="25"/>
      <c r="I275" s="29"/>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row>
    <row r="276" spans="1:46" s="2" customFormat="1" ht="12.75">
      <c r="A276" s="86"/>
      <c r="B276" s="29"/>
      <c r="C276" s="29"/>
      <c r="D276" s="29"/>
      <c r="E276" s="25"/>
      <c r="F276" s="25"/>
      <c r="G276" s="25"/>
      <c r="H276" s="25"/>
      <c r="I276" s="29"/>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row>
    <row r="277" spans="1:46" s="2" customFormat="1" ht="12.75">
      <c r="A277" s="86"/>
      <c r="B277" s="29"/>
      <c r="C277" s="29"/>
      <c r="D277" s="29"/>
      <c r="E277" s="25"/>
      <c r="F277" s="25"/>
      <c r="G277" s="25"/>
      <c r="H277" s="25"/>
      <c r="I277" s="29"/>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row>
    <row r="278" spans="1:46" s="2" customFormat="1" ht="12.75">
      <c r="A278" s="86"/>
      <c r="B278" s="29"/>
      <c r="C278" s="29"/>
      <c r="D278" s="29"/>
      <c r="E278" s="25"/>
      <c r="F278" s="25"/>
      <c r="G278" s="25"/>
      <c r="H278" s="25"/>
      <c r="I278" s="29"/>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row>
    <row r="279" spans="1:46" s="2" customFormat="1" ht="12.75">
      <c r="A279" s="86"/>
      <c r="B279" s="29"/>
      <c r="C279" s="29"/>
      <c r="D279" s="29"/>
      <c r="E279" s="25"/>
      <c r="F279" s="25"/>
      <c r="G279" s="25"/>
      <c r="H279" s="25"/>
      <c r="I279" s="29"/>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row>
    <row r="280" spans="1:46" s="2" customFormat="1" ht="12.75">
      <c r="A280" s="86"/>
      <c r="B280" s="29"/>
      <c r="C280" s="29"/>
      <c r="D280" s="29"/>
      <c r="E280" s="25"/>
      <c r="F280" s="25"/>
      <c r="G280" s="25"/>
      <c r="H280" s="25"/>
      <c r="I280" s="29"/>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row>
    <row r="281" spans="1:46" s="2" customFormat="1" ht="12.75">
      <c r="A281" s="85"/>
      <c r="B281" s="29" t="s">
        <v>227</v>
      </c>
      <c r="C281" s="29"/>
      <c r="D281" s="29"/>
      <c r="E281" s="25"/>
      <c r="F281" s="25"/>
      <c r="G281" s="25"/>
      <c r="H281" s="25"/>
      <c r="I281" s="29"/>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row>
    <row r="282" spans="1:46" s="2" customFormat="1" ht="12.75">
      <c r="A282" s="86"/>
      <c r="B282" s="29"/>
      <c r="C282" s="29"/>
      <c r="D282" s="29"/>
      <c r="E282" s="25"/>
      <c r="F282" s="25"/>
      <c r="G282" s="25"/>
      <c r="H282" s="25"/>
      <c r="I282" s="29"/>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row>
    <row r="283" spans="1:46" s="2" customFormat="1" ht="12.75">
      <c r="A283" s="86"/>
      <c r="B283" s="29"/>
      <c r="C283" s="29"/>
      <c r="D283" s="29"/>
      <c r="E283" s="25"/>
      <c r="F283" s="25"/>
      <c r="G283" s="25"/>
      <c r="H283" s="25"/>
      <c r="I283" s="29"/>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row>
    <row r="284" spans="1:46" s="2" customFormat="1" ht="12.75">
      <c r="A284" s="86"/>
      <c r="B284" s="29"/>
      <c r="C284" s="29"/>
      <c r="D284" s="29"/>
      <c r="E284" s="25"/>
      <c r="F284" s="25"/>
      <c r="G284" s="25"/>
      <c r="H284" s="25"/>
      <c r="I284" s="29"/>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row>
    <row r="285" spans="1:46" s="2" customFormat="1" ht="12.75">
      <c r="A285" s="86"/>
      <c r="B285" s="29"/>
      <c r="C285" s="29"/>
      <c r="D285" s="29"/>
      <c r="E285" s="25"/>
      <c r="F285" s="25"/>
      <c r="G285" s="25"/>
      <c r="H285" s="25"/>
      <c r="I285" s="29"/>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row>
    <row r="286" spans="1:46" s="2" customFormat="1" ht="12.75">
      <c r="A286" s="86"/>
      <c r="B286" s="29"/>
      <c r="C286" s="29"/>
      <c r="D286" s="29"/>
      <c r="E286" s="25"/>
      <c r="F286" s="25"/>
      <c r="G286" s="25"/>
      <c r="H286" s="25"/>
      <c r="I286" s="29"/>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row>
    <row r="287" spans="1:46" s="2" customFormat="1" ht="12.75">
      <c r="A287" s="86"/>
      <c r="B287" s="29"/>
      <c r="C287" s="29"/>
      <c r="D287" s="29"/>
      <c r="E287" s="25"/>
      <c r="F287" s="25"/>
      <c r="G287" s="25"/>
      <c r="H287" s="25"/>
      <c r="I287" s="29"/>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row>
    <row r="288" spans="1:46" s="2" customFormat="1" ht="12.75">
      <c r="A288" s="86"/>
      <c r="B288" s="29"/>
      <c r="C288" s="29"/>
      <c r="D288" s="29"/>
      <c r="E288" s="25"/>
      <c r="F288" s="25"/>
      <c r="G288" s="25"/>
      <c r="H288" s="25"/>
      <c r="I288" s="29"/>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row>
    <row r="289" spans="1:46" s="2" customFormat="1" ht="12.75">
      <c r="A289" s="86"/>
      <c r="B289" s="29"/>
      <c r="C289" s="29"/>
      <c r="D289" s="29"/>
      <c r="E289" s="25"/>
      <c r="F289" s="25"/>
      <c r="G289" s="25"/>
      <c r="H289" s="25"/>
      <c r="I289" s="29"/>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row>
    <row r="290" spans="1:46" s="2" customFormat="1" ht="12.75">
      <c r="A290" s="86"/>
      <c r="B290" s="29"/>
      <c r="C290" s="29"/>
      <c r="D290" s="29"/>
      <c r="E290" s="25"/>
      <c r="F290" s="25"/>
      <c r="G290" s="25"/>
      <c r="H290" s="25"/>
      <c r="I290" s="29"/>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row>
    <row r="291" spans="1:46" s="2" customFormat="1" ht="12.75">
      <c r="A291" s="86"/>
      <c r="B291" s="29"/>
      <c r="C291" s="29"/>
      <c r="D291" s="29"/>
      <c r="E291" s="25"/>
      <c r="F291" s="25"/>
      <c r="G291" s="25"/>
      <c r="H291" s="25"/>
      <c r="I291" s="29"/>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row>
    <row r="292" spans="1:46" s="2" customFormat="1" ht="12.75">
      <c r="A292" s="86"/>
      <c r="B292" s="29"/>
      <c r="C292" s="29"/>
      <c r="D292" s="29"/>
      <c r="E292" s="25"/>
      <c r="F292" s="25"/>
      <c r="G292" s="25"/>
      <c r="H292" s="25"/>
      <c r="I292" s="29"/>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row>
    <row r="293" spans="1:46" s="2" customFormat="1" ht="12.75">
      <c r="A293" s="86"/>
      <c r="B293" s="29"/>
      <c r="C293" s="29"/>
      <c r="D293" s="29"/>
      <c r="E293" s="25"/>
      <c r="F293" s="25"/>
      <c r="G293" s="25"/>
      <c r="H293" s="25"/>
      <c r="I293" s="29"/>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row>
    <row r="294" spans="1:46" s="2" customFormat="1" ht="12.75">
      <c r="A294" s="86"/>
      <c r="B294" s="29"/>
      <c r="C294" s="29"/>
      <c r="D294" s="29"/>
      <c r="E294" s="25"/>
      <c r="F294" s="25"/>
      <c r="G294" s="25"/>
      <c r="H294" s="25"/>
      <c r="I294" s="29"/>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row>
    <row r="295" spans="1:46" s="2" customFormat="1" ht="12.75">
      <c r="A295" s="86"/>
      <c r="B295" s="29"/>
      <c r="C295" s="29"/>
      <c r="D295" s="29"/>
      <c r="E295" s="25"/>
      <c r="F295" s="25"/>
      <c r="G295" s="25"/>
      <c r="H295" s="25"/>
      <c r="I295" s="29"/>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row>
    <row r="296" spans="1:46" s="2" customFormat="1" ht="12.75">
      <c r="A296" s="86"/>
      <c r="B296" s="29"/>
      <c r="C296" s="29"/>
      <c r="D296" s="29"/>
      <c r="E296" s="25"/>
      <c r="F296" s="25"/>
      <c r="G296" s="25"/>
      <c r="H296" s="25"/>
      <c r="I296" s="29"/>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row>
    <row r="297" spans="1:46" s="2" customFormat="1" ht="12.75">
      <c r="A297" s="86"/>
      <c r="B297" s="29"/>
      <c r="C297" s="29"/>
      <c r="D297" s="29"/>
      <c r="E297" s="25"/>
      <c r="F297" s="25"/>
      <c r="G297" s="25"/>
      <c r="H297" s="25"/>
      <c r="I297" s="29"/>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row>
    <row r="298" spans="1:46" s="2" customFormat="1" ht="12.75">
      <c r="A298" s="86"/>
      <c r="B298" s="29"/>
      <c r="C298" s="29"/>
      <c r="D298" s="29"/>
      <c r="E298" s="25"/>
      <c r="F298" s="25"/>
      <c r="G298" s="25"/>
      <c r="H298" s="25"/>
      <c r="I298" s="29"/>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row>
    <row r="299" spans="1:46" s="2" customFormat="1" ht="13.5" customHeight="1">
      <c r="A299" s="86"/>
      <c r="B299" s="29"/>
      <c r="C299" s="29"/>
      <c r="D299" s="29"/>
      <c r="E299" s="25"/>
      <c r="F299" s="25"/>
      <c r="G299" s="25"/>
      <c r="H299" s="25"/>
      <c r="I299" s="29"/>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row>
    <row r="300" spans="1:46" s="2" customFormat="1" ht="13.5" customHeight="1">
      <c r="A300" s="86"/>
      <c r="B300" s="29"/>
      <c r="C300" s="29"/>
      <c r="D300" s="29"/>
      <c r="E300" s="25"/>
      <c r="F300" s="25"/>
      <c r="G300" s="25"/>
      <c r="H300" s="25"/>
      <c r="I300" s="29"/>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row>
    <row r="301" spans="1:46" s="2" customFormat="1" ht="12.75">
      <c r="A301" s="86"/>
      <c r="B301" s="29"/>
      <c r="C301" s="29"/>
      <c r="D301" s="29"/>
      <c r="E301" s="25"/>
      <c r="F301" s="25"/>
      <c r="G301" s="25"/>
      <c r="H301" s="25"/>
      <c r="I301" s="29"/>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row>
    <row r="302" spans="1:46" s="2" customFormat="1" ht="12.75">
      <c r="A302" s="86"/>
      <c r="B302" s="29"/>
      <c r="C302" s="29"/>
      <c r="D302" s="29"/>
      <c r="E302" s="25"/>
      <c r="F302" s="25"/>
      <c r="G302" s="25"/>
      <c r="H302" s="25"/>
      <c r="I302" s="29"/>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row>
    <row r="303" spans="1:46" s="2" customFormat="1" ht="12.75">
      <c r="A303" s="86"/>
      <c r="B303" s="29"/>
      <c r="C303" s="29"/>
      <c r="D303" s="29"/>
      <c r="E303" s="25"/>
      <c r="F303" s="25"/>
      <c r="G303" s="25"/>
      <c r="H303" s="25"/>
      <c r="I303" s="29"/>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row>
    <row r="304" spans="1:46" s="2" customFormat="1" ht="12.75">
      <c r="A304" s="86"/>
      <c r="B304" s="29"/>
      <c r="C304" s="29"/>
      <c r="D304" s="29"/>
      <c r="E304" s="25"/>
      <c r="F304" s="25"/>
      <c r="G304" s="25"/>
      <c r="H304" s="25"/>
      <c r="I304" s="29"/>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row>
    <row r="305" spans="1:46" s="2" customFormat="1" ht="12.75">
      <c r="A305" s="86"/>
      <c r="B305" s="29"/>
      <c r="C305" s="29"/>
      <c r="D305" s="29"/>
      <c r="E305" s="25"/>
      <c r="F305" s="25"/>
      <c r="G305" s="25"/>
      <c r="H305" s="25"/>
      <c r="I305" s="29"/>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row>
    <row r="306" spans="1:46" s="2" customFormat="1" ht="12.75">
      <c r="A306" s="86"/>
      <c r="B306" s="29"/>
      <c r="C306" s="29"/>
      <c r="D306" s="29"/>
      <c r="E306" s="25"/>
      <c r="F306" s="25"/>
      <c r="G306" s="25"/>
      <c r="H306" s="25"/>
      <c r="I306" s="29"/>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row>
    <row r="307" spans="1:46" s="2" customFormat="1" ht="12.75">
      <c r="A307" s="86"/>
      <c r="B307" s="29"/>
      <c r="C307" s="29"/>
      <c r="D307" s="29"/>
      <c r="E307" s="25"/>
      <c r="F307" s="25"/>
      <c r="G307" s="25"/>
      <c r="H307" s="25"/>
      <c r="I307" s="29"/>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row>
    <row r="308" spans="1:46" s="2" customFormat="1" ht="12.75">
      <c r="A308" s="86"/>
      <c r="B308" s="29"/>
      <c r="C308" s="29"/>
      <c r="D308" s="29"/>
      <c r="E308" s="25"/>
      <c r="F308" s="25"/>
      <c r="G308" s="25"/>
      <c r="H308" s="25"/>
      <c r="I308" s="29"/>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row>
    <row r="309" spans="1:46" s="2" customFormat="1" ht="12.75">
      <c r="A309" s="86"/>
      <c r="B309" s="29"/>
      <c r="C309" s="29"/>
      <c r="D309" s="29"/>
      <c r="E309" s="25"/>
      <c r="F309" s="25"/>
      <c r="G309" s="25"/>
      <c r="H309" s="25"/>
      <c r="I309" s="29"/>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row>
    <row r="310" spans="1:46" s="2" customFormat="1" ht="12.75">
      <c r="A310" s="86"/>
      <c r="B310" s="29"/>
      <c r="C310" s="29"/>
      <c r="D310" s="29"/>
      <c r="E310" s="25"/>
      <c r="F310" s="25"/>
      <c r="G310" s="25"/>
      <c r="H310" s="25"/>
      <c r="I310" s="29"/>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row>
    <row r="311" spans="1:46" s="2" customFormat="1" ht="12.75">
      <c r="A311" s="86"/>
      <c r="B311" s="29"/>
      <c r="C311" s="29"/>
      <c r="D311" s="29"/>
      <c r="E311" s="25"/>
      <c r="F311" s="25"/>
      <c r="G311" s="25"/>
      <c r="H311" s="25"/>
      <c r="I311" s="29"/>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row>
    <row r="312" spans="1:46" s="2" customFormat="1" ht="12.75">
      <c r="A312" s="86"/>
      <c r="B312" s="29"/>
      <c r="C312" s="29"/>
      <c r="D312" s="29"/>
      <c r="E312" s="25"/>
      <c r="F312" s="25"/>
      <c r="G312" s="25"/>
      <c r="H312" s="25"/>
      <c r="I312" s="29"/>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row>
    <row r="313" spans="1:46" s="2" customFormat="1" ht="12.75">
      <c r="A313" s="86"/>
      <c r="B313" s="29"/>
      <c r="C313" s="29"/>
      <c r="D313" s="29"/>
      <c r="E313" s="25"/>
      <c r="F313" s="25"/>
      <c r="G313" s="25"/>
      <c r="H313" s="25"/>
      <c r="I313" s="29"/>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row>
    <row r="314" spans="1:46" s="2" customFormat="1" ht="12.75">
      <c r="A314" s="86"/>
      <c r="B314" s="29"/>
      <c r="C314" s="29"/>
      <c r="D314" s="29"/>
      <c r="E314" s="25"/>
      <c r="F314" s="25"/>
      <c r="G314" s="25"/>
      <c r="H314" s="25"/>
      <c r="I314" s="29"/>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row>
    <row r="315" spans="1:46" s="2" customFormat="1" ht="12.75">
      <c r="A315" s="86"/>
      <c r="B315" s="29"/>
      <c r="C315" s="29"/>
      <c r="D315" s="29"/>
      <c r="E315" s="25"/>
      <c r="F315" s="25"/>
      <c r="G315" s="25"/>
      <c r="H315" s="25"/>
      <c r="I315" s="29"/>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row>
    <row r="316" spans="1:46" s="2" customFormat="1" ht="12.75">
      <c r="A316" s="86"/>
      <c r="B316" s="29"/>
      <c r="C316" s="29"/>
      <c r="D316" s="29"/>
      <c r="E316" s="25"/>
      <c r="F316" s="25"/>
      <c r="G316" s="25"/>
      <c r="H316" s="25"/>
      <c r="I316" s="29"/>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row>
    <row r="317" spans="1:46" s="2" customFormat="1" ht="12.75">
      <c r="A317" s="86"/>
      <c r="B317" s="29"/>
      <c r="C317" s="29"/>
      <c r="D317" s="29"/>
      <c r="E317" s="25"/>
      <c r="F317" s="25"/>
      <c r="G317" s="25"/>
      <c r="H317" s="25"/>
      <c r="I317" s="29"/>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row>
    <row r="318" spans="1:46" s="2" customFormat="1" ht="12.75">
      <c r="A318" s="86"/>
      <c r="B318" s="29"/>
      <c r="C318" s="29"/>
      <c r="D318" s="29"/>
      <c r="E318" s="25"/>
      <c r="F318" s="25"/>
      <c r="G318" s="25"/>
      <c r="H318" s="25"/>
      <c r="I318" s="29"/>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row>
    <row r="319" spans="1:46" s="2" customFormat="1" ht="12.75">
      <c r="A319" s="86"/>
      <c r="B319" s="29"/>
      <c r="C319" s="29"/>
      <c r="D319" s="29"/>
      <c r="E319" s="25"/>
      <c r="F319" s="25"/>
      <c r="G319" s="25"/>
      <c r="H319" s="25"/>
      <c r="I319" s="29"/>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row>
    <row r="320" spans="1:46" s="2" customFormat="1" ht="12.75">
      <c r="A320" s="85" t="s">
        <v>86</v>
      </c>
      <c r="B320" s="27" t="s">
        <v>201</v>
      </c>
      <c r="C320" s="29"/>
      <c r="D320" s="29"/>
      <c r="E320" s="25"/>
      <c r="F320" s="25"/>
      <c r="G320" s="25"/>
      <c r="H320" s="25"/>
      <c r="I320" s="29"/>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row>
    <row r="321" spans="1:46" s="2" customFormat="1" ht="12.75">
      <c r="A321" s="86"/>
      <c r="B321" s="29"/>
      <c r="C321" s="29"/>
      <c r="D321" s="29"/>
      <c r="E321" s="25"/>
      <c r="F321" s="25"/>
      <c r="G321" s="25"/>
      <c r="H321" s="25"/>
      <c r="I321" s="29"/>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row>
    <row r="322" spans="1:46" s="2" customFormat="1" ht="12.75">
      <c r="A322" s="86"/>
      <c r="B322" s="29" t="s">
        <v>220</v>
      </c>
      <c r="C322" s="29"/>
      <c r="D322" s="29"/>
      <c r="E322" s="25"/>
      <c r="F322" s="25"/>
      <c r="G322" s="25"/>
      <c r="H322" s="25"/>
      <c r="I322" s="29"/>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row>
    <row r="323" spans="1:46" s="2" customFormat="1" ht="12.75">
      <c r="A323" s="86"/>
      <c r="B323" s="29"/>
      <c r="C323" s="29"/>
      <c r="D323" s="29"/>
      <c r="E323" s="25"/>
      <c r="F323" s="25"/>
      <c r="G323" s="25"/>
      <c r="H323" s="25"/>
      <c r="I323" s="29"/>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row>
    <row r="324" spans="1:46" s="2" customFormat="1" ht="12.75">
      <c r="A324" s="86"/>
      <c r="B324" s="29"/>
      <c r="C324" s="29"/>
      <c r="D324" s="29"/>
      <c r="E324" s="25"/>
      <c r="F324" s="25"/>
      <c r="G324" s="25"/>
      <c r="H324" s="25"/>
      <c r="I324" s="29"/>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row>
    <row r="325" spans="1:46" s="2" customFormat="1" ht="12.75">
      <c r="A325" s="86"/>
      <c r="B325" s="29"/>
      <c r="C325" s="29"/>
      <c r="D325" s="29"/>
      <c r="E325" s="25"/>
      <c r="F325" s="25"/>
      <c r="G325" s="25"/>
      <c r="H325" s="25"/>
      <c r="I325" s="29"/>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row>
    <row r="326" spans="1:46" s="2" customFormat="1" ht="12.75">
      <c r="A326" s="86"/>
      <c r="B326" s="29"/>
      <c r="C326" s="29"/>
      <c r="D326" s="29"/>
      <c r="E326" s="25"/>
      <c r="F326" s="25"/>
      <c r="G326" s="25"/>
      <c r="H326" s="25"/>
      <c r="I326" s="29"/>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row>
    <row r="327" spans="1:46" s="2" customFormat="1" ht="12.75">
      <c r="A327" s="86"/>
      <c r="B327" s="29"/>
      <c r="C327" s="29"/>
      <c r="D327" s="29"/>
      <c r="E327" s="25"/>
      <c r="F327" s="25"/>
      <c r="G327" s="25"/>
      <c r="H327" s="25"/>
      <c r="I327" s="29"/>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row>
    <row r="328" spans="1:46" s="2" customFormat="1" ht="12.75">
      <c r="A328" s="86"/>
      <c r="B328" s="29"/>
      <c r="C328" s="29"/>
      <c r="D328" s="29"/>
      <c r="E328" s="25"/>
      <c r="F328" s="25"/>
      <c r="G328" s="25"/>
      <c r="H328" s="25"/>
      <c r="I328" s="29"/>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row>
    <row r="329" spans="1:46" s="2" customFormat="1" ht="12.75">
      <c r="A329" s="86"/>
      <c r="B329" s="29"/>
      <c r="C329" s="29"/>
      <c r="D329" s="29"/>
      <c r="E329" s="25"/>
      <c r="F329" s="25"/>
      <c r="G329" s="25"/>
      <c r="H329" s="25"/>
      <c r="I329" s="29"/>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row>
    <row r="330" spans="1:46" s="2" customFormat="1" ht="12.75">
      <c r="A330" s="86"/>
      <c r="B330" s="29"/>
      <c r="C330" s="29"/>
      <c r="D330" s="29"/>
      <c r="E330" s="25"/>
      <c r="F330" s="25"/>
      <c r="G330" s="25"/>
      <c r="H330" s="25"/>
      <c r="I330" s="29"/>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row>
    <row r="331" spans="1:46" s="2" customFormat="1" ht="12.75">
      <c r="A331" s="86"/>
      <c r="B331" s="29"/>
      <c r="C331" s="29"/>
      <c r="D331" s="29"/>
      <c r="E331" s="25"/>
      <c r="F331" s="25"/>
      <c r="G331" s="25"/>
      <c r="H331" s="25"/>
      <c r="I331" s="29"/>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row>
    <row r="332" spans="1:46" s="2" customFormat="1" ht="12.75">
      <c r="A332" s="86"/>
      <c r="B332" s="29"/>
      <c r="C332" s="29"/>
      <c r="D332" s="29"/>
      <c r="E332" s="25"/>
      <c r="F332" s="25"/>
      <c r="G332" s="25"/>
      <c r="H332" s="25"/>
      <c r="I332" s="29"/>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row>
    <row r="333" spans="1:46" s="2" customFormat="1" ht="12.75">
      <c r="A333" s="86"/>
      <c r="B333" s="29"/>
      <c r="C333" s="29"/>
      <c r="D333" s="29"/>
      <c r="E333" s="25"/>
      <c r="F333" s="25"/>
      <c r="G333" s="25"/>
      <c r="H333" s="25"/>
      <c r="I333" s="29"/>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row>
    <row r="334" spans="1:46" s="2" customFormat="1" ht="12.75">
      <c r="A334" s="86"/>
      <c r="B334" s="29"/>
      <c r="C334" s="29"/>
      <c r="D334" s="29"/>
      <c r="E334" s="25"/>
      <c r="F334" s="25"/>
      <c r="G334" s="25"/>
      <c r="H334" s="25"/>
      <c r="I334" s="29"/>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row>
    <row r="335" spans="1:46" s="2" customFormat="1" ht="12.75">
      <c r="A335" s="86"/>
      <c r="B335" s="29"/>
      <c r="C335" s="29"/>
      <c r="D335" s="29"/>
      <c r="E335" s="25"/>
      <c r="F335" s="25"/>
      <c r="G335" s="25"/>
      <c r="H335" s="25"/>
      <c r="I335" s="29"/>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row>
    <row r="336" spans="1:46" s="2" customFormat="1" ht="12.75">
      <c r="A336" s="86"/>
      <c r="B336" s="29"/>
      <c r="C336" s="29"/>
      <c r="D336" s="29"/>
      <c r="E336" s="25"/>
      <c r="F336" s="25"/>
      <c r="G336" s="25"/>
      <c r="H336" s="25"/>
      <c r="I336" s="29"/>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row>
    <row r="337" spans="1:46" s="2" customFormat="1" ht="12.75">
      <c r="A337" s="86"/>
      <c r="B337" s="29"/>
      <c r="C337" s="29"/>
      <c r="D337" s="29"/>
      <c r="E337" s="25"/>
      <c r="F337" s="25"/>
      <c r="G337" s="25"/>
      <c r="H337" s="25"/>
      <c r="I337" s="29"/>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row>
    <row r="338" spans="1:46" s="2" customFormat="1" ht="12.75">
      <c r="A338" s="86"/>
      <c r="B338" s="29"/>
      <c r="C338" s="29"/>
      <c r="D338" s="29"/>
      <c r="E338" s="25"/>
      <c r="F338" s="25"/>
      <c r="G338" s="25"/>
      <c r="H338" s="25"/>
      <c r="I338" s="29"/>
      <c r="J338" s="25"/>
      <c r="K338" s="25"/>
      <c r="L338" s="25" t="s">
        <v>154</v>
      </c>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row>
    <row r="339" spans="1:46" s="2" customFormat="1" ht="12.75">
      <c r="A339" s="86"/>
      <c r="B339" s="29"/>
      <c r="C339" s="29"/>
      <c r="D339" s="29"/>
      <c r="E339" s="25"/>
      <c r="F339" s="25"/>
      <c r="G339" s="25"/>
      <c r="H339" s="25"/>
      <c r="I339" s="29"/>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row>
    <row r="340" spans="1:46" s="2" customFormat="1" ht="12.75">
      <c r="A340" s="86"/>
      <c r="B340" s="29"/>
      <c r="C340" s="29"/>
      <c r="D340" s="29"/>
      <c r="E340" s="25"/>
      <c r="F340" s="25"/>
      <c r="G340" s="25"/>
      <c r="H340" s="25"/>
      <c r="I340" s="29"/>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row>
    <row r="341" spans="1:46" s="2" customFormat="1" ht="12.75">
      <c r="A341" s="86"/>
      <c r="B341" s="29"/>
      <c r="C341" s="29"/>
      <c r="D341" s="29"/>
      <c r="E341" s="25"/>
      <c r="F341" s="25"/>
      <c r="G341" s="25"/>
      <c r="H341" s="25"/>
      <c r="I341" s="29"/>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row>
    <row r="342" spans="1:46" s="2" customFormat="1" ht="12.75">
      <c r="A342" s="86"/>
      <c r="B342" s="29"/>
      <c r="C342" s="29"/>
      <c r="D342" s="29"/>
      <c r="E342" s="25"/>
      <c r="F342" s="25"/>
      <c r="G342" s="25"/>
      <c r="H342" s="25"/>
      <c r="I342" s="29"/>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row>
    <row r="343" spans="1:46" s="2" customFormat="1" ht="12.75">
      <c r="A343" s="86"/>
      <c r="B343" s="29"/>
      <c r="C343" s="29"/>
      <c r="D343" s="29"/>
      <c r="E343" s="25"/>
      <c r="F343" s="25"/>
      <c r="G343" s="25"/>
      <c r="H343" s="25"/>
      <c r="I343" s="29"/>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row>
    <row r="344" spans="1:46" s="2" customFormat="1" ht="12.75">
      <c r="A344" s="86"/>
      <c r="B344" s="29"/>
      <c r="C344" s="29"/>
      <c r="D344" s="29"/>
      <c r="E344" s="25"/>
      <c r="F344" s="25"/>
      <c r="G344" s="25"/>
      <c r="H344" s="25"/>
      <c r="I344" s="29"/>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row>
    <row r="345" spans="1:46" s="2" customFormat="1" ht="12.75">
      <c r="A345" s="86"/>
      <c r="B345" s="29"/>
      <c r="C345" s="29"/>
      <c r="D345" s="29"/>
      <c r="E345" s="25"/>
      <c r="F345" s="25"/>
      <c r="G345" s="25"/>
      <c r="H345" s="25"/>
      <c r="I345" s="29"/>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row>
    <row r="346" spans="1:46" s="2" customFormat="1" ht="12.75">
      <c r="A346" s="86"/>
      <c r="B346" s="29"/>
      <c r="C346" s="29"/>
      <c r="D346" s="29"/>
      <c r="E346" s="25"/>
      <c r="F346" s="25"/>
      <c r="G346" s="25"/>
      <c r="H346" s="25"/>
      <c r="I346" s="29"/>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row>
    <row r="347" spans="1:46" s="2" customFormat="1" ht="12.75">
      <c r="A347" s="86"/>
      <c r="B347" s="29"/>
      <c r="C347" s="29"/>
      <c r="D347" s="29"/>
      <c r="E347" s="25"/>
      <c r="F347" s="25"/>
      <c r="G347" s="25"/>
      <c r="H347" s="25"/>
      <c r="I347" s="29"/>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row>
    <row r="348" spans="1:46" s="2" customFormat="1" ht="12.75">
      <c r="A348" s="86"/>
      <c r="B348" s="29"/>
      <c r="C348" s="29"/>
      <c r="D348" s="29"/>
      <c r="E348" s="25"/>
      <c r="F348" s="25"/>
      <c r="G348" s="25"/>
      <c r="H348" s="25"/>
      <c r="I348" s="29"/>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row>
    <row r="349" spans="1:46" s="2" customFormat="1" ht="12.75">
      <c r="A349" s="86"/>
      <c r="B349" s="29"/>
      <c r="C349" s="29"/>
      <c r="D349" s="29"/>
      <c r="E349" s="25"/>
      <c r="F349" s="25"/>
      <c r="G349" s="25"/>
      <c r="H349" s="25"/>
      <c r="I349" s="29"/>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row>
    <row r="350" spans="1:46" s="2" customFormat="1" ht="12.75">
      <c r="A350" s="86"/>
      <c r="B350" s="29"/>
      <c r="C350" s="29"/>
      <c r="D350" s="29"/>
      <c r="E350" s="25"/>
      <c r="F350" s="25"/>
      <c r="G350" s="25"/>
      <c r="H350" s="25"/>
      <c r="I350" s="29"/>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row>
    <row r="351" spans="1:46" s="2" customFormat="1" ht="12.75">
      <c r="A351" s="85" t="s">
        <v>87</v>
      </c>
      <c r="B351" s="27" t="s">
        <v>34</v>
      </c>
      <c r="C351" s="27"/>
      <c r="D351" s="29"/>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row>
    <row r="352" spans="1:46" s="2" customFormat="1" ht="12.75">
      <c r="A352" s="86"/>
      <c r="B352" s="27"/>
      <c r="C352" s="27"/>
      <c r="D352" s="29"/>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row>
    <row r="353" spans="1:46" s="2" customFormat="1" ht="12.75">
      <c r="A353" s="85"/>
      <c r="B353" s="27"/>
      <c r="C353" s="27"/>
      <c r="D353" s="29"/>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row>
    <row r="354" spans="1:46" s="2" customFormat="1" ht="12.75">
      <c r="A354" s="85"/>
      <c r="B354" s="29"/>
      <c r="C354" s="29"/>
      <c r="D354" s="29"/>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row>
    <row r="355" spans="1:46" s="2" customFormat="1" ht="12.75">
      <c r="A355" s="85" t="s">
        <v>88</v>
      </c>
      <c r="B355" s="27" t="s">
        <v>39</v>
      </c>
      <c r="C355" s="27"/>
      <c r="D355" s="29"/>
      <c r="E355" s="25"/>
      <c r="F355" s="25"/>
      <c r="G355" s="25"/>
      <c r="H355" s="25"/>
      <c r="I355" s="29"/>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row>
    <row r="356" spans="1:46" s="2" customFormat="1" ht="12.75">
      <c r="A356" s="86"/>
      <c r="B356" s="29"/>
      <c r="C356" s="29"/>
      <c r="D356" s="29"/>
      <c r="E356" s="30"/>
      <c r="F356" s="30"/>
      <c r="G356" s="108" t="s">
        <v>54</v>
      </c>
      <c r="H356" s="43"/>
      <c r="I356" s="101" t="s">
        <v>240</v>
      </c>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row>
    <row r="357" spans="1:46" s="2" customFormat="1" ht="12.75">
      <c r="A357" s="85"/>
      <c r="B357" s="29"/>
      <c r="C357" s="29"/>
      <c r="D357" s="29"/>
      <c r="E357" s="32"/>
      <c r="F357" s="32"/>
      <c r="G357" s="79" t="s">
        <v>236</v>
      </c>
      <c r="H357" s="79"/>
      <c r="I357" s="79" t="s">
        <v>236</v>
      </c>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row>
    <row r="358" spans="1:46" s="2" customFormat="1" ht="12.75">
      <c r="A358" s="86"/>
      <c r="B358" s="29"/>
      <c r="C358" s="29"/>
      <c r="D358" s="29"/>
      <c r="E358" s="32"/>
      <c r="F358" s="32"/>
      <c r="G358" s="107"/>
      <c r="H358" s="32"/>
      <c r="I358" s="32"/>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row>
    <row r="359" spans="1:46" s="2" customFormat="1" ht="12.75">
      <c r="A359" s="86"/>
      <c r="B359" s="29" t="s">
        <v>200</v>
      </c>
      <c r="C359" s="29"/>
      <c r="D359" s="29"/>
      <c r="E359" s="31"/>
      <c r="F359" s="31"/>
      <c r="G359" s="3">
        <f>PL!D40</f>
        <v>-1398753</v>
      </c>
      <c r="H359" s="31"/>
      <c r="I359" s="31">
        <f>PL!G40</f>
        <v>985821</v>
      </c>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row>
    <row r="360" spans="1:46" s="2" customFormat="1" ht="12.75">
      <c r="A360" s="86"/>
      <c r="B360" s="29"/>
      <c r="C360" s="29"/>
      <c r="D360" s="29"/>
      <c r="E360" s="31"/>
      <c r="F360" s="31"/>
      <c r="G360" s="3"/>
      <c r="H360" s="31"/>
      <c r="I360" s="31"/>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row>
    <row r="361" spans="1:46" s="2" customFormat="1" ht="12.75">
      <c r="A361" s="86"/>
      <c r="B361" s="29" t="s">
        <v>48</v>
      </c>
      <c r="C361" s="29"/>
      <c r="D361" s="29"/>
      <c r="E361" s="31"/>
      <c r="F361" s="31"/>
      <c r="G361" s="3">
        <f>PL!D47</f>
        <v>634906903</v>
      </c>
      <c r="H361" s="3"/>
      <c r="I361" s="3">
        <f>PL!G47</f>
        <v>459929358</v>
      </c>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row>
    <row r="362" spans="1:46" s="2" customFormat="1" ht="12.75">
      <c r="A362" s="86"/>
      <c r="B362" s="29"/>
      <c r="C362" s="29"/>
      <c r="D362" s="29"/>
      <c r="E362" s="25"/>
      <c r="F362" s="25"/>
      <c r="G362" s="3"/>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row>
    <row r="363" spans="1:46" s="2" customFormat="1" ht="12.75">
      <c r="A363" s="86"/>
      <c r="B363" s="29" t="s">
        <v>94</v>
      </c>
      <c r="C363" s="29"/>
      <c r="D363" s="29"/>
      <c r="E363" s="25"/>
      <c r="F363" s="25"/>
      <c r="G363" s="3"/>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row>
    <row r="364" spans="1:46" s="2" customFormat="1" ht="12.75">
      <c r="A364" s="86"/>
      <c r="B364" s="33" t="s">
        <v>43</v>
      </c>
      <c r="C364" s="33"/>
      <c r="D364" s="33"/>
      <c r="E364" s="46"/>
      <c r="F364" s="46"/>
      <c r="G364" s="46">
        <f>G359/G361*100</f>
        <v>-0.22030836227969003</v>
      </c>
      <c r="H364" s="46"/>
      <c r="I364" s="46">
        <f>I359/I361*100</f>
        <v>0.21434182942503097</v>
      </c>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row>
    <row r="365" spans="1:46" s="2" customFormat="1" ht="13.5" thickBot="1">
      <c r="A365" s="86"/>
      <c r="B365" s="33" t="s">
        <v>42</v>
      </c>
      <c r="C365" s="33"/>
      <c r="D365" s="29" t="s">
        <v>154</v>
      </c>
      <c r="E365" s="30"/>
      <c r="F365" s="30"/>
      <c r="G365" s="83">
        <f>G364</f>
        <v>-0.22030836227969003</v>
      </c>
      <c r="H365" s="96"/>
      <c r="I365" s="83">
        <f>I364</f>
        <v>0.21434182942503097</v>
      </c>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row>
    <row r="366" spans="1:46" s="2" customFormat="1" ht="12.75">
      <c r="A366" s="86"/>
      <c r="B366" s="24"/>
      <c r="C366" s="24"/>
      <c r="D366" s="24"/>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row>
    <row r="367" spans="1:46" s="2" customFormat="1" ht="12.75">
      <c r="A367" s="85" t="s">
        <v>145</v>
      </c>
      <c r="B367" s="27" t="s">
        <v>108</v>
      </c>
      <c r="C367" s="27"/>
      <c r="D367" s="29"/>
      <c r="E367" s="25"/>
      <c r="F367" s="25"/>
      <c r="G367" s="25"/>
      <c r="H367" s="25"/>
      <c r="I367" s="29"/>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row>
    <row r="368" spans="1:46" s="2" customFormat="1" ht="12.75">
      <c r="A368" s="86"/>
      <c r="B368" s="29"/>
      <c r="C368" s="29"/>
      <c r="D368" s="29"/>
      <c r="E368" s="25"/>
      <c r="F368" s="25"/>
      <c r="G368" s="25"/>
      <c r="H368" s="25"/>
      <c r="I368" s="29"/>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row>
    <row r="369" spans="1:46" s="2" customFormat="1" ht="12.75">
      <c r="A369" s="85"/>
      <c r="B369" s="29"/>
      <c r="C369" s="29"/>
      <c r="D369" s="29"/>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row>
    <row r="370" spans="1:46" s="2" customFormat="1" ht="12.75">
      <c r="A370" s="85"/>
      <c r="B370" s="29"/>
      <c r="C370" s="29"/>
      <c r="D370" s="29"/>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row>
    <row r="371" spans="1:46" s="2" customFormat="1" ht="12.75">
      <c r="A371" s="86"/>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row>
    <row r="372" spans="1:46" s="2" customFormat="1" ht="12.75">
      <c r="A372" s="18"/>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row>
    <row r="373" spans="1:46" s="2" customFormat="1" ht="12.75">
      <c r="A373" s="18"/>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row>
    <row r="374" spans="1:46" s="2" customFormat="1" ht="12.75">
      <c r="A374" s="18"/>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row>
    <row r="375" spans="1:46" s="2" customFormat="1" ht="12.75">
      <c r="A375" s="18"/>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row>
    <row r="376" spans="1:46" s="2" customFormat="1" ht="12.75">
      <c r="A376" s="18"/>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row>
    <row r="377" spans="1:46" s="2" customFormat="1" ht="12.75">
      <c r="A377" s="18"/>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row>
    <row r="378" spans="1:46" s="2" customFormat="1" ht="12.75">
      <c r="A378" s="18"/>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row>
    <row r="379" spans="1:46" s="2" customFormat="1" ht="12.75">
      <c r="A379" s="18"/>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row>
    <row r="380" spans="1:46" s="2" customFormat="1" ht="12.75">
      <c r="A380" s="18"/>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row>
    <row r="381" spans="1:46" s="2" customFormat="1" ht="12.75">
      <c r="A381" s="18"/>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row>
    <row r="382" spans="1:46" s="2" customFormat="1" ht="12.75">
      <c r="A382" s="18"/>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row>
    <row r="383" spans="1:46" s="2" customFormat="1" ht="12.75">
      <c r="A383" s="18"/>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row>
    <row r="384" spans="1:46" s="2" customFormat="1" ht="12.75">
      <c r="A384" s="18"/>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row>
    <row r="385" spans="1:46" s="2" customFormat="1" ht="12.75">
      <c r="A385" s="18"/>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row>
    <row r="386" spans="1:46" s="2" customFormat="1" ht="12.75">
      <c r="A386" s="18"/>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row>
    <row r="387" spans="1:46" s="2" customFormat="1" ht="12.75">
      <c r="A387" s="18"/>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row>
    <row r="388" spans="1:46" s="2" customFormat="1" ht="12.75">
      <c r="A388" s="18"/>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row>
    <row r="389" spans="1:46" s="2" customFormat="1" ht="12.75">
      <c r="A389" s="18"/>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row>
    <row r="390" spans="1:46" s="2" customFormat="1" ht="12.75">
      <c r="A390" s="18"/>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row>
    <row r="391" spans="1:46" s="2" customFormat="1" ht="12.75">
      <c r="A391" s="18"/>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row>
    <row r="392" spans="1:46" s="2" customFormat="1" ht="12.75">
      <c r="A392" s="18"/>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row>
    <row r="393" spans="1:46" s="2" customFormat="1" ht="12.75">
      <c r="A393" s="18"/>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row>
    <row r="394" spans="1:46" s="2" customFormat="1" ht="12.75">
      <c r="A394" s="18"/>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row>
    <row r="395" spans="1:46" s="2" customFormat="1" ht="12.75">
      <c r="A395" s="18"/>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row>
    <row r="396" spans="1:46" s="2" customFormat="1" ht="12.75">
      <c r="A396" s="18"/>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row>
    <row r="397" spans="1:46" s="2" customFormat="1" ht="12.75">
      <c r="A397" s="18"/>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row>
    <row r="398" spans="1:46" s="2" customFormat="1" ht="12.75">
      <c r="A398" s="18"/>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row>
    <row r="399" spans="1:46" s="2" customFormat="1" ht="12.75">
      <c r="A399" s="18"/>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row>
    <row r="400" spans="1:46" s="2" customFormat="1" ht="12.75">
      <c r="A400" s="18"/>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row>
    <row r="401" spans="1:46" s="2" customFormat="1" ht="12.75">
      <c r="A401" s="18"/>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row>
    <row r="402" spans="1:46" s="2" customFormat="1" ht="12.75">
      <c r="A402" s="18"/>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row>
    <row r="403" spans="1:46" s="2" customFormat="1" ht="12.75">
      <c r="A403" s="18"/>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row>
    <row r="404" spans="1:46" s="2" customFormat="1" ht="12.75">
      <c r="A404" s="18"/>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row>
    <row r="405" spans="1:46" s="2" customFormat="1" ht="12.75">
      <c r="A405" s="18"/>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row>
    <row r="406" spans="1:46" s="2" customFormat="1" ht="12.75">
      <c r="A406" s="18"/>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row>
    <row r="407" spans="1:46" s="2" customFormat="1" ht="12.75">
      <c r="A407" s="18"/>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row>
    <row r="408" spans="1:46" s="2" customFormat="1" ht="12.75">
      <c r="A408" s="18"/>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row>
    <row r="409" spans="1:46" s="2" customFormat="1" ht="12.75">
      <c r="A409" s="18"/>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row>
    <row r="410" spans="1:46" s="2" customFormat="1" ht="12.75">
      <c r="A410" s="18"/>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row>
    <row r="411" spans="1:46" s="2" customFormat="1" ht="12.75">
      <c r="A411" s="18"/>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row>
    <row r="412" spans="1:46" s="2" customFormat="1" ht="12.75">
      <c r="A412" s="18"/>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row>
    <row r="413" spans="1:46" s="2" customFormat="1" ht="12.75">
      <c r="A413" s="18"/>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row>
    <row r="414" spans="1:46" s="2" customFormat="1" ht="12.75">
      <c r="A414" s="18"/>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row>
    <row r="415" spans="1:46" s="2" customFormat="1" ht="12.75">
      <c r="A415" s="18"/>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row>
    <row r="416" spans="1:46" s="2" customFormat="1" ht="12.75">
      <c r="A416" s="18"/>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row>
    <row r="417" spans="1:46" s="2" customFormat="1" ht="12.75">
      <c r="A417" s="18"/>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row>
    <row r="418" spans="1:46" s="2" customFormat="1" ht="12.75">
      <c r="A418" s="18"/>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row>
    <row r="419" spans="1:46" s="2" customFormat="1" ht="12.75">
      <c r="A419" s="18"/>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row>
    <row r="420" spans="1:46" s="2" customFormat="1" ht="12.75">
      <c r="A420" s="18"/>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row>
    <row r="421" spans="1:46" s="2" customFormat="1" ht="12.75">
      <c r="A421" s="18"/>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row>
    <row r="422" spans="1:46" s="2" customFormat="1" ht="12.75">
      <c r="A422" s="18"/>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row>
    <row r="423" spans="1:46" s="2" customFormat="1" ht="12.75">
      <c r="A423" s="18"/>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row>
    <row r="424" spans="1:46" s="2" customFormat="1" ht="12.75">
      <c r="A424" s="18"/>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row>
    <row r="425" spans="1:46" s="2" customFormat="1" ht="12.75">
      <c r="A425" s="18"/>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row>
    <row r="426" spans="1:46" s="2" customFormat="1" ht="12.75">
      <c r="A426" s="18"/>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row>
    <row r="427" spans="1:46" s="2" customFormat="1" ht="12.75">
      <c r="A427" s="18"/>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row>
    <row r="428" spans="1:46" s="2" customFormat="1" ht="12.75">
      <c r="A428" s="18"/>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row>
    <row r="429" spans="1:46" s="2" customFormat="1" ht="12.75">
      <c r="A429" s="18"/>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row>
    <row r="430" spans="1:46" s="2" customFormat="1" ht="12.75">
      <c r="A430" s="18"/>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row>
    <row r="431" spans="1:46" s="2" customFormat="1" ht="12.75">
      <c r="A431" s="18"/>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row>
    <row r="432" spans="1:46" s="2" customFormat="1" ht="12.75">
      <c r="A432" s="18"/>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row>
    <row r="433" spans="1:46" s="2" customFormat="1" ht="12.75">
      <c r="A433" s="18"/>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row>
    <row r="434" spans="1:46" s="2" customFormat="1" ht="12.75">
      <c r="A434" s="18"/>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row>
    <row r="435" spans="1:46" s="2" customFormat="1" ht="12.75">
      <c r="A435" s="18"/>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row>
    <row r="436" spans="1:46" s="2" customFormat="1" ht="12.75">
      <c r="A436" s="18"/>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row>
    <row r="437" spans="1:46" s="2" customFormat="1" ht="12.75">
      <c r="A437" s="18"/>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row>
    <row r="438" spans="1:46" s="2" customFormat="1" ht="12.75">
      <c r="A438" s="18"/>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row>
    <row r="439" spans="1:46" s="2" customFormat="1" ht="12.75">
      <c r="A439" s="18"/>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row>
    <row r="440" spans="1:46" s="2" customFormat="1" ht="12.75">
      <c r="A440" s="18"/>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row>
    <row r="441" spans="1:46" s="2" customFormat="1" ht="12.75">
      <c r="A441" s="18"/>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row>
    <row r="442" spans="1:46" s="2" customFormat="1" ht="12.75">
      <c r="A442" s="18"/>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row>
    <row r="443" spans="1:46" s="2" customFormat="1" ht="12.75">
      <c r="A443" s="18"/>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row>
    <row r="444" spans="1:46" s="2" customFormat="1" ht="12.75">
      <c r="A444" s="18"/>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row>
    <row r="445" spans="1:46" s="2" customFormat="1" ht="12.75">
      <c r="A445" s="18"/>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row>
    <row r="446" spans="1:46" s="2" customFormat="1" ht="12.75">
      <c r="A446" s="18"/>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row>
    <row r="447" spans="1:46" s="2" customFormat="1" ht="12.75">
      <c r="A447" s="18"/>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row>
    <row r="448" spans="1:46" s="2" customFormat="1" ht="12.75">
      <c r="A448" s="18"/>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row>
    <row r="449" spans="1:46" s="2" customFormat="1" ht="12.75">
      <c r="A449" s="18"/>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row>
    <row r="450" spans="1:46" s="2" customFormat="1" ht="12.75">
      <c r="A450" s="18"/>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row>
    <row r="451" spans="1:46" s="2" customFormat="1" ht="12.75">
      <c r="A451" s="18"/>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row>
    <row r="452" spans="1:46" s="2" customFormat="1" ht="12.75">
      <c r="A452" s="18"/>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row>
    <row r="453" spans="1:46" s="2" customFormat="1" ht="12.75">
      <c r="A453" s="18"/>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row>
    <row r="454" spans="1:46" s="2" customFormat="1" ht="12.75">
      <c r="A454" s="18"/>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row>
    <row r="455" spans="1:46" s="2" customFormat="1" ht="12.75">
      <c r="A455" s="18"/>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row>
    <row r="456" spans="1:46" s="2" customFormat="1" ht="12.75">
      <c r="A456" s="18"/>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row>
    <row r="457" spans="1:46" s="2" customFormat="1" ht="12.75">
      <c r="A457" s="18"/>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row>
    <row r="458" spans="1:46" s="2" customFormat="1" ht="12.75">
      <c r="A458" s="18"/>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row>
    <row r="459" spans="1:46" s="2" customFormat="1" ht="12.75">
      <c r="A459" s="18"/>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row>
    <row r="460" spans="1:46" s="2" customFormat="1" ht="12.75">
      <c r="A460" s="18"/>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row>
    <row r="461" spans="1:46" s="2" customFormat="1" ht="12.75">
      <c r="A461" s="18"/>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row>
    <row r="462" spans="1:46" s="2" customFormat="1" ht="12.75">
      <c r="A462" s="18"/>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row>
    <row r="463" spans="1:46" s="2" customFormat="1" ht="12.75">
      <c r="A463" s="18"/>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row>
    <row r="464" spans="1:46" s="2" customFormat="1" ht="12.75">
      <c r="A464" s="18"/>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row>
    <row r="465" spans="1:46" s="2" customFormat="1" ht="12.75">
      <c r="A465" s="18"/>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row>
    <row r="466" spans="1:46" s="2" customFormat="1" ht="12.75">
      <c r="A466" s="18"/>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row>
    <row r="467" spans="1:46" s="2" customFormat="1" ht="12.75">
      <c r="A467" s="18"/>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row>
    <row r="468" spans="1:46" s="2" customFormat="1" ht="12.75">
      <c r="A468" s="18"/>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row>
    <row r="469" spans="1:46" s="2" customFormat="1" ht="12.75">
      <c r="A469" s="18"/>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row>
    <row r="470" spans="1:46" s="2" customFormat="1" ht="12.75">
      <c r="A470" s="18"/>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row>
    <row r="471" spans="1:46" s="2" customFormat="1" ht="12.75">
      <c r="A471" s="18"/>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row>
    <row r="472" spans="1:46" s="2" customFormat="1" ht="12.75">
      <c r="A472" s="18"/>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row>
    <row r="473" spans="1:46" s="2" customFormat="1" ht="12.75">
      <c r="A473" s="18"/>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row>
    <row r="474" spans="1:46" s="2" customFormat="1" ht="12.75">
      <c r="A474" s="18"/>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row>
    <row r="475" spans="1:46" s="2" customFormat="1" ht="12.75">
      <c r="A475" s="18"/>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row>
    <row r="476" spans="1:46" s="2" customFormat="1" ht="12.75">
      <c r="A476" s="18"/>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row>
    <row r="477" spans="1:46" s="2" customFormat="1" ht="12.75">
      <c r="A477" s="18"/>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row>
    <row r="478" spans="1:46" s="2" customFormat="1" ht="12.75">
      <c r="A478" s="18"/>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row>
    <row r="479" spans="1:46" s="2" customFormat="1" ht="12.75">
      <c r="A479" s="18"/>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row>
    <row r="480" spans="1:46" s="2" customFormat="1" ht="12.75">
      <c r="A480" s="18"/>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row>
    <row r="481" spans="1:46" s="2" customFormat="1" ht="12.75">
      <c r="A481" s="18"/>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row>
    <row r="482" spans="1:46" s="2" customFormat="1" ht="12.75">
      <c r="A482" s="18"/>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row>
    <row r="483" spans="1:46" s="2" customFormat="1" ht="12.75">
      <c r="A483" s="18"/>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row>
    <row r="484" spans="1:46" s="2" customFormat="1" ht="12.75">
      <c r="A484" s="18"/>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row>
    <row r="485" spans="1:46" s="2" customFormat="1" ht="12.75">
      <c r="A485" s="18"/>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row>
    <row r="486" spans="1:46" s="2" customFormat="1" ht="12.75">
      <c r="A486" s="18"/>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row>
    <row r="487" spans="1:46" s="2" customFormat="1" ht="12.75">
      <c r="A487" s="18"/>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row>
    <row r="488" spans="1:46" s="2" customFormat="1" ht="12.75">
      <c r="A488" s="18"/>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row>
    <row r="489" spans="1:46" s="2" customFormat="1" ht="12.75">
      <c r="A489" s="18"/>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row>
    <row r="490" spans="1:46" s="2" customFormat="1" ht="12.75">
      <c r="A490" s="18"/>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row>
    <row r="491" spans="1:46" s="2" customFormat="1" ht="12.75">
      <c r="A491" s="18"/>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row>
    <row r="492" spans="1:46" s="2" customFormat="1" ht="12.75">
      <c r="A492" s="18"/>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row>
    <row r="493" spans="1:46" s="2" customFormat="1" ht="12.75">
      <c r="A493" s="18"/>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row>
    <row r="494" spans="1:46" s="2" customFormat="1" ht="12.75">
      <c r="A494" s="18"/>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row>
    <row r="495" spans="1:46" s="2" customFormat="1" ht="12.75">
      <c r="A495" s="18"/>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row>
    <row r="496" spans="1:46" s="2" customFormat="1" ht="12.75">
      <c r="A496" s="18"/>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row>
    <row r="497" spans="1:46" s="2" customFormat="1" ht="12.75">
      <c r="A497" s="18"/>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row>
    <row r="498" spans="1:46" s="2" customFormat="1" ht="12.75">
      <c r="A498" s="18"/>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row>
    <row r="499" spans="1:46" s="2" customFormat="1" ht="12.75">
      <c r="A499" s="18"/>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row>
    <row r="500" spans="1:46" s="2" customFormat="1" ht="12.75">
      <c r="A500" s="18"/>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row>
    <row r="501" spans="1:46" s="2" customFormat="1" ht="12.75">
      <c r="A501" s="18"/>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row>
    <row r="502" spans="1:46" s="2" customFormat="1" ht="12.75">
      <c r="A502" s="18"/>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row>
    <row r="503" spans="1:46" s="2" customFormat="1" ht="12.75">
      <c r="A503" s="18"/>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row>
    <row r="504" spans="1:46" s="2" customFormat="1" ht="12.75">
      <c r="A504" s="18"/>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row>
    <row r="505" spans="1:46" s="2" customFormat="1" ht="12.75">
      <c r="A505" s="18"/>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row>
    <row r="506" spans="1:46" s="2" customFormat="1" ht="12.75">
      <c r="A506" s="18"/>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row>
    <row r="507" spans="1:46" s="2" customFormat="1" ht="12.75">
      <c r="A507" s="18"/>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row>
    <row r="508" spans="1:46" s="2" customFormat="1" ht="12.75">
      <c r="A508" s="18"/>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row>
    <row r="509" spans="1:46" s="2" customFormat="1" ht="12.75">
      <c r="A509" s="18"/>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row>
    <row r="510" spans="1:46" s="2" customFormat="1" ht="12.75">
      <c r="A510" s="18"/>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row>
    <row r="511" spans="1:46" s="2" customFormat="1" ht="12.75">
      <c r="A511" s="18"/>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row>
    <row r="512" spans="1:46" s="2" customFormat="1" ht="12.75">
      <c r="A512" s="18"/>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row>
    <row r="513" spans="1:46" s="2" customFormat="1" ht="12.75">
      <c r="A513" s="18"/>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row>
    <row r="514" spans="1:46" s="2" customFormat="1" ht="12.75">
      <c r="A514" s="18"/>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row>
    <row r="515" spans="1:46" s="2" customFormat="1" ht="12.75">
      <c r="A515" s="18"/>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row>
    <row r="516" spans="1:46" s="2" customFormat="1" ht="12.75">
      <c r="A516" s="18"/>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row>
    <row r="517" spans="1:46" s="2" customFormat="1" ht="12.75">
      <c r="A517" s="18"/>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row>
    <row r="518" spans="1:46" s="2" customFormat="1" ht="12.75">
      <c r="A518" s="18"/>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row>
    <row r="519" spans="1:46" s="2" customFormat="1" ht="12.75">
      <c r="A519" s="18"/>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row>
    <row r="520" spans="1:46" s="2" customFormat="1" ht="12.75">
      <c r="A520" s="18"/>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row>
    <row r="521" spans="1:46" s="2" customFormat="1" ht="12.75">
      <c r="A521" s="18"/>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row>
    <row r="522" spans="1:46" s="2" customFormat="1" ht="12.75">
      <c r="A522" s="18"/>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row>
    <row r="523" spans="1:46" s="2" customFormat="1" ht="12.75">
      <c r="A523" s="18"/>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row>
    <row r="524" spans="1:46" s="2" customFormat="1" ht="12.75">
      <c r="A524" s="18"/>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row>
    <row r="525" spans="1:46" s="2" customFormat="1" ht="12.75">
      <c r="A525" s="18"/>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row>
    <row r="526" spans="1:46" s="2" customFormat="1" ht="12.75">
      <c r="A526" s="18"/>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row>
    <row r="527" spans="1:46" s="2" customFormat="1" ht="12.75">
      <c r="A527" s="18"/>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row>
    <row r="528" spans="1:46" s="2" customFormat="1" ht="12.75">
      <c r="A528" s="18"/>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row>
    <row r="529" spans="1:46" s="2" customFormat="1" ht="12.75">
      <c r="A529" s="18"/>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row>
    <row r="530" spans="1:46" s="2" customFormat="1" ht="12.75">
      <c r="A530" s="18"/>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row>
    <row r="531" spans="1:46" s="2" customFormat="1" ht="12.75">
      <c r="A531" s="18"/>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row>
    <row r="532" spans="1:46" s="2" customFormat="1" ht="12.75">
      <c r="A532" s="18"/>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row>
    <row r="533" spans="1:46" s="2" customFormat="1" ht="12.75">
      <c r="A533" s="18"/>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row>
    <row r="534" spans="1:46" s="2" customFormat="1" ht="12.75">
      <c r="A534" s="18"/>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row>
    <row r="535" spans="1:46" s="2" customFormat="1" ht="12.75">
      <c r="A535" s="18"/>
      <c r="B535" s="25"/>
      <c r="C535" s="25"/>
      <c r="D535" s="25"/>
      <c r="E535" s="25"/>
      <c r="F535" s="25"/>
      <c r="G535" s="25"/>
      <c r="H535" s="25"/>
      <c r="I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row>
    <row r="536" spans="1:46" s="2" customFormat="1" ht="12.75">
      <c r="A536" s="18"/>
      <c r="B536" s="25"/>
      <c r="C536" s="25"/>
      <c r="D536" s="25"/>
      <c r="E536" s="25"/>
      <c r="F536" s="25"/>
      <c r="G536" s="25"/>
      <c r="H536" s="25"/>
      <c r="I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row>
    <row r="537" spans="1:46" s="2" customFormat="1" ht="12.75">
      <c r="A537" s="18"/>
      <c r="B537" s="25"/>
      <c r="C537" s="25"/>
      <c r="D537" s="25"/>
      <c r="E537" s="25"/>
      <c r="F537" s="25"/>
      <c r="G537" s="25"/>
      <c r="H537" s="25"/>
      <c r="I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row>
    <row r="538" spans="1:46" s="2" customFormat="1" ht="12.75">
      <c r="A538" s="18"/>
      <c r="B538" s="25"/>
      <c r="C538" s="25"/>
      <c r="D538" s="25"/>
      <c r="E538" s="25"/>
      <c r="F538" s="25"/>
      <c r="G538" s="25"/>
      <c r="H538" s="25"/>
      <c r="I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row>
    <row r="539" s="2" customFormat="1" ht="12.75">
      <c r="A539" s="18"/>
    </row>
    <row r="540" s="2" customFormat="1" ht="12.75">
      <c r="A540" s="18"/>
    </row>
    <row r="541" s="2" customFormat="1" ht="12.75">
      <c r="A541" s="18"/>
    </row>
    <row r="542" s="2" customFormat="1" ht="12.75">
      <c r="A542" s="18"/>
    </row>
    <row r="543" s="2" customFormat="1" ht="12.75">
      <c r="A543" s="18"/>
    </row>
    <row r="544" s="2" customFormat="1" ht="12.75">
      <c r="A544" s="18"/>
    </row>
    <row r="545" s="2" customFormat="1" ht="12.75">
      <c r="A545" s="18"/>
    </row>
    <row r="546" s="2" customFormat="1" ht="12.75">
      <c r="A546" s="18"/>
    </row>
    <row r="547" s="2" customFormat="1" ht="12.75">
      <c r="A547" s="18"/>
    </row>
    <row r="548" s="2" customFormat="1" ht="12.75">
      <c r="A548" s="18"/>
    </row>
    <row r="549" s="2" customFormat="1" ht="12.75">
      <c r="A549" s="18"/>
    </row>
    <row r="550" s="2" customFormat="1" ht="12.75">
      <c r="A550" s="18"/>
    </row>
    <row r="551" s="2" customFormat="1" ht="12.75">
      <c r="A551" s="18"/>
    </row>
    <row r="552" s="2" customFormat="1" ht="12.75">
      <c r="A552" s="18"/>
    </row>
    <row r="553" s="2" customFormat="1" ht="12.75">
      <c r="A553" s="18"/>
    </row>
    <row r="554" s="2" customFormat="1" ht="12.75">
      <c r="A554" s="18"/>
    </row>
    <row r="555" s="2" customFormat="1" ht="12.75">
      <c r="A555" s="18"/>
    </row>
    <row r="556" s="2" customFormat="1" ht="12.75">
      <c r="A556" s="18"/>
    </row>
    <row r="557" s="2" customFormat="1" ht="12.75">
      <c r="A557" s="18"/>
    </row>
    <row r="558" s="2" customFormat="1" ht="12.75">
      <c r="A558" s="18"/>
    </row>
    <row r="559" s="2" customFormat="1" ht="12.75">
      <c r="A559" s="18"/>
    </row>
    <row r="560" s="2" customFormat="1" ht="12.75">
      <c r="A560" s="18"/>
    </row>
    <row r="561" s="2" customFormat="1" ht="12.75">
      <c r="A561" s="18"/>
    </row>
    <row r="562" s="2" customFormat="1" ht="12.75">
      <c r="A562" s="18"/>
    </row>
    <row r="563" s="2" customFormat="1" ht="12.75">
      <c r="A563" s="18"/>
    </row>
    <row r="564" s="2" customFormat="1" ht="12.75">
      <c r="A564" s="18"/>
    </row>
    <row r="565" s="2" customFormat="1" ht="12.75">
      <c r="A565" s="18"/>
    </row>
    <row r="566" s="2" customFormat="1" ht="12.75">
      <c r="A566" s="18"/>
    </row>
    <row r="567" s="2" customFormat="1" ht="12.75">
      <c r="A567" s="18"/>
    </row>
    <row r="568" s="2" customFormat="1" ht="12.75">
      <c r="A568" s="18"/>
    </row>
    <row r="569" s="2" customFormat="1" ht="12.75">
      <c r="A569" s="18"/>
    </row>
    <row r="570" s="2" customFormat="1" ht="12.75">
      <c r="A570" s="18"/>
    </row>
    <row r="571" s="2" customFormat="1" ht="12.75">
      <c r="A571" s="18"/>
    </row>
    <row r="572" s="2" customFormat="1" ht="12.75">
      <c r="A572" s="18"/>
    </row>
    <row r="573" s="2" customFormat="1" ht="12.75">
      <c r="A573" s="18"/>
    </row>
    <row r="574" s="2" customFormat="1" ht="12.75">
      <c r="A574" s="18"/>
    </row>
    <row r="575" s="2" customFormat="1" ht="12.75">
      <c r="A575" s="18"/>
    </row>
    <row r="576" s="2" customFormat="1" ht="12.75">
      <c r="A576" s="18"/>
    </row>
    <row r="577" s="2" customFormat="1" ht="12.75">
      <c r="A577" s="18"/>
    </row>
    <row r="578" s="2" customFormat="1" ht="12.75">
      <c r="A578" s="18"/>
    </row>
    <row r="579" s="2" customFormat="1" ht="12.75">
      <c r="A579" s="18"/>
    </row>
    <row r="580" s="2" customFormat="1" ht="12.75">
      <c r="A580" s="18"/>
    </row>
    <row r="581" s="2" customFormat="1" ht="12.75">
      <c r="A581" s="18"/>
    </row>
    <row r="582" s="2" customFormat="1" ht="12.75">
      <c r="A582" s="18"/>
    </row>
    <row r="583" s="2" customFormat="1" ht="12.75">
      <c r="A583" s="18"/>
    </row>
    <row r="584" s="2" customFormat="1" ht="12.75">
      <c r="A584" s="18"/>
    </row>
    <row r="585" s="2" customFormat="1" ht="12.75">
      <c r="A585" s="18"/>
    </row>
    <row r="586" s="2" customFormat="1" ht="12.75">
      <c r="A586" s="18"/>
    </row>
    <row r="587" s="2" customFormat="1" ht="12.75">
      <c r="A587" s="18"/>
    </row>
    <row r="588" s="2" customFormat="1" ht="12.75">
      <c r="A588" s="18"/>
    </row>
    <row r="589" s="2" customFormat="1" ht="12.75">
      <c r="A589" s="18"/>
    </row>
    <row r="590" s="2" customFormat="1" ht="12.75">
      <c r="A590" s="18"/>
    </row>
    <row r="591" s="2" customFormat="1" ht="12.75">
      <c r="A591" s="18"/>
    </row>
    <row r="592" s="2" customFormat="1" ht="12.75">
      <c r="A592" s="18"/>
    </row>
    <row r="593" s="2" customFormat="1" ht="12.75">
      <c r="A593" s="18"/>
    </row>
    <row r="594" s="2" customFormat="1" ht="12.75">
      <c r="A594" s="18"/>
    </row>
    <row r="595" s="2" customFormat="1" ht="12.75">
      <c r="A595" s="18"/>
    </row>
    <row r="596" s="2" customFormat="1" ht="12.75">
      <c r="A596" s="18"/>
    </row>
    <row r="597" s="2" customFormat="1" ht="12.75">
      <c r="A597" s="18"/>
    </row>
    <row r="598" s="2" customFormat="1" ht="12.75">
      <c r="A598" s="18"/>
    </row>
    <row r="599" s="2" customFormat="1" ht="12.75">
      <c r="A599" s="18"/>
    </row>
    <row r="600" s="2" customFormat="1" ht="12.75">
      <c r="A600" s="18"/>
    </row>
    <row r="601" s="2" customFormat="1" ht="12.75">
      <c r="A601" s="18"/>
    </row>
    <row r="602" s="2" customFormat="1" ht="12.75">
      <c r="A602" s="18"/>
    </row>
    <row r="603" s="2" customFormat="1" ht="12.75">
      <c r="A603" s="18"/>
    </row>
    <row r="604" s="2" customFormat="1" ht="12.75">
      <c r="A604" s="18"/>
    </row>
    <row r="605" s="2" customFormat="1" ht="12.75">
      <c r="A605" s="18"/>
    </row>
    <row r="606" s="2" customFormat="1" ht="12.75">
      <c r="A606" s="18"/>
    </row>
    <row r="607" s="2" customFormat="1" ht="12.75">
      <c r="A607" s="18"/>
    </row>
    <row r="608" s="2" customFormat="1" ht="12.75">
      <c r="A608" s="18"/>
    </row>
    <row r="609" s="2" customFormat="1" ht="12.75">
      <c r="A609" s="18"/>
    </row>
    <row r="610" s="2" customFormat="1" ht="12.75">
      <c r="A610" s="18"/>
    </row>
    <row r="611" s="2" customFormat="1" ht="12.75">
      <c r="A611" s="18"/>
    </row>
    <row r="612" s="2" customFormat="1" ht="12.75">
      <c r="A612" s="18"/>
    </row>
    <row r="613" s="2" customFormat="1" ht="12.75">
      <c r="A613" s="18"/>
    </row>
    <row r="614" s="2" customFormat="1" ht="12.75">
      <c r="A614" s="18"/>
    </row>
    <row r="615" s="2" customFormat="1" ht="12.75">
      <c r="A615" s="18"/>
    </row>
    <row r="616" s="2" customFormat="1" ht="12.75">
      <c r="A616" s="18"/>
    </row>
    <row r="617" s="2" customFormat="1" ht="12.75">
      <c r="A617" s="18"/>
    </row>
    <row r="618" s="2" customFormat="1" ht="12.75">
      <c r="A618" s="18"/>
    </row>
    <row r="619" s="2" customFormat="1" ht="12.75">
      <c r="A619" s="18"/>
    </row>
    <row r="620" s="2" customFormat="1" ht="12.75">
      <c r="A620" s="18"/>
    </row>
    <row r="621" s="2" customFormat="1" ht="12.75">
      <c r="A621" s="18"/>
    </row>
    <row r="622" s="2" customFormat="1" ht="12.75">
      <c r="A622" s="18"/>
    </row>
    <row r="623" s="2" customFormat="1" ht="12.75">
      <c r="A623" s="18"/>
    </row>
    <row r="624" s="2" customFormat="1" ht="12.75">
      <c r="A624" s="18"/>
    </row>
    <row r="625" s="2" customFormat="1" ht="12.75">
      <c r="A625" s="18"/>
    </row>
    <row r="626" s="2" customFormat="1" ht="12.75">
      <c r="A626" s="18"/>
    </row>
    <row r="627" s="2" customFormat="1" ht="12.75">
      <c r="A627" s="18"/>
    </row>
    <row r="628" s="2" customFormat="1" ht="12.75">
      <c r="A628" s="18"/>
    </row>
    <row r="629" s="2" customFormat="1" ht="12.75">
      <c r="A629" s="18"/>
    </row>
    <row r="630" s="2" customFormat="1" ht="12.75">
      <c r="A630" s="18"/>
    </row>
    <row r="631" s="2" customFormat="1" ht="12.75">
      <c r="A631" s="18"/>
    </row>
    <row r="632" s="2" customFormat="1" ht="12.75">
      <c r="A632" s="18"/>
    </row>
    <row r="633" s="2" customFormat="1" ht="12.75">
      <c r="A633" s="18"/>
    </row>
    <row r="634" s="2" customFormat="1" ht="12.75">
      <c r="A634" s="18"/>
    </row>
    <row r="635" s="2" customFormat="1" ht="12.75">
      <c r="A635" s="18"/>
    </row>
    <row r="636" s="2" customFormat="1" ht="12.75">
      <c r="A636" s="18"/>
    </row>
    <row r="637" s="2" customFormat="1" ht="12.75">
      <c r="A637" s="18"/>
    </row>
    <row r="638" s="2" customFormat="1" ht="12.75">
      <c r="A638" s="18"/>
    </row>
    <row r="639" s="2" customFormat="1" ht="12.75">
      <c r="A639" s="18"/>
    </row>
    <row r="640" s="2" customFormat="1" ht="12.75">
      <c r="A640" s="18"/>
    </row>
    <row r="641" s="2" customFormat="1" ht="12.75">
      <c r="A641" s="18"/>
    </row>
    <row r="642" s="2" customFormat="1" ht="12.75">
      <c r="A642" s="18"/>
    </row>
    <row r="643" s="2" customFormat="1" ht="12.75">
      <c r="A643" s="18"/>
    </row>
    <row r="644" s="2" customFormat="1" ht="12.75">
      <c r="A644" s="18"/>
    </row>
    <row r="645" s="2" customFormat="1" ht="12.75">
      <c r="A645" s="18"/>
    </row>
    <row r="646" s="2" customFormat="1" ht="12.75">
      <c r="A646" s="18"/>
    </row>
    <row r="647" s="2" customFormat="1" ht="12.75">
      <c r="A647" s="18"/>
    </row>
    <row r="648" s="2" customFormat="1" ht="12.75">
      <c r="A648" s="18"/>
    </row>
    <row r="649" s="2" customFormat="1" ht="12.75">
      <c r="A649" s="18"/>
    </row>
    <row r="650" s="2" customFormat="1" ht="12.75">
      <c r="A650" s="18"/>
    </row>
    <row r="651" s="2" customFormat="1" ht="12.75">
      <c r="A651" s="18"/>
    </row>
    <row r="652" s="2" customFormat="1" ht="12.75">
      <c r="A652" s="18"/>
    </row>
    <row r="653" s="2" customFormat="1" ht="12.75">
      <c r="A653" s="18"/>
    </row>
    <row r="654" s="2" customFormat="1" ht="12.75">
      <c r="A654" s="18"/>
    </row>
    <row r="655" s="2" customFormat="1" ht="12.75">
      <c r="A655" s="18"/>
    </row>
    <row r="656" s="2" customFormat="1" ht="12.75">
      <c r="A656" s="18"/>
    </row>
    <row r="657" s="2" customFormat="1" ht="12.75">
      <c r="A657" s="18"/>
    </row>
    <row r="658" s="2" customFormat="1" ht="12.75">
      <c r="A658" s="18"/>
    </row>
    <row r="659" s="2" customFormat="1" ht="12.75">
      <c r="A659" s="18"/>
    </row>
    <row r="660" s="2" customFormat="1" ht="12.75">
      <c r="A660" s="18"/>
    </row>
    <row r="661" s="2" customFormat="1" ht="12.75">
      <c r="A661" s="18"/>
    </row>
    <row r="662" s="2" customFormat="1" ht="12.75">
      <c r="A662" s="18"/>
    </row>
    <row r="663" s="2" customFormat="1" ht="12.75">
      <c r="A663" s="18"/>
    </row>
    <row r="664" s="2" customFormat="1" ht="12.75">
      <c r="A664" s="18"/>
    </row>
    <row r="665" s="2" customFormat="1" ht="12.75">
      <c r="A665" s="18"/>
    </row>
    <row r="666" s="2" customFormat="1" ht="12.75">
      <c r="A666" s="18"/>
    </row>
    <row r="667" s="2" customFormat="1" ht="12.75">
      <c r="A667" s="18"/>
    </row>
    <row r="668" s="2" customFormat="1" ht="12.75">
      <c r="A668" s="18"/>
    </row>
    <row r="669" s="2" customFormat="1" ht="12.75">
      <c r="A669" s="18"/>
    </row>
    <row r="670" s="2" customFormat="1" ht="12.75">
      <c r="A670" s="18"/>
    </row>
    <row r="671" s="2" customFormat="1" ht="12.75">
      <c r="A671" s="18"/>
    </row>
    <row r="672" s="2" customFormat="1" ht="12.75">
      <c r="A672" s="18"/>
    </row>
    <row r="673" s="2" customFormat="1" ht="12.75">
      <c r="A673" s="18"/>
    </row>
    <row r="674" s="2" customFormat="1" ht="12.75">
      <c r="A674" s="18"/>
    </row>
    <row r="675" s="2" customFormat="1" ht="12.75">
      <c r="A675" s="18"/>
    </row>
    <row r="676" s="2" customFormat="1" ht="12.75">
      <c r="A676" s="18"/>
    </row>
    <row r="677" s="2" customFormat="1" ht="12.75">
      <c r="A677" s="18"/>
    </row>
    <row r="678" s="2" customFormat="1" ht="12.75">
      <c r="A678" s="18"/>
    </row>
    <row r="679" s="2" customFormat="1" ht="12.75">
      <c r="A679" s="18"/>
    </row>
    <row r="680" s="2" customFormat="1" ht="12.75">
      <c r="A680" s="18"/>
    </row>
    <row r="681" s="2" customFormat="1" ht="12.75">
      <c r="A681" s="18"/>
    </row>
    <row r="682" s="2" customFormat="1" ht="12.75">
      <c r="A682" s="18"/>
    </row>
    <row r="683" s="2" customFormat="1" ht="12.75">
      <c r="A683" s="18"/>
    </row>
    <row r="684" s="2" customFormat="1" ht="12.75">
      <c r="A684" s="18"/>
    </row>
    <row r="685" s="2" customFormat="1" ht="12.75">
      <c r="A685" s="18"/>
    </row>
    <row r="686" s="2" customFormat="1" ht="12.75">
      <c r="A686" s="18"/>
    </row>
    <row r="687" s="2" customFormat="1" ht="12.75">
      <c r="A687" s="18"/>
    </row>
    <row r="688" s="2" customFormat="1" ht="12.75">
      <c r="A688" s="18"/>
    </row>
    <row r="689" s="2" customFormat="1" ht="12.75">
      <c r="A689" s="18"/>
    </row>
    <row r="690" s="2" customFormat="1" ht="12.75">
      <c r="A690" s="18"/>
    </row>
    <row r="691" s="2" customFormat="1" ht="12.75">
      <c r="A691" s="18"/>
    </row>
    <row r="692" s="2" customFormat="1" ht="12.75">
      <c r="A692" s="18"/>
    </row>
    <row r="693" s="2" customFormat="1" ht="12.75">
      <c r="A693" s="18"/>
    </row>
    <row r="694" s="2" customFormat="1" ht="12.75">
      <c r="A694" s="18"/>
    </row>
    <row r="695" s="2" customFormat="1" ht="12.75">
      <c r="A695" s="18"/>
    </row>
    <row r="696" s="2" customFormat="1" ht="12.75">
      <c r="A696" s="18"/>
    </row>
    <row r="697" s="2" customFormat="1" ht="12.75">
      <c r="A697" s="18"/>
    </row>
    <row r="698" s="2" customFormat="1" ht="12.75">
      <c r="A698" s="18"/>
    </row>
    <row r="699" s="2" customFormat="1" ht="12.75">
      <c r="A699" s="18"/>
    </row>
    <row r="700" s="2" customFormat="1" ht="12.75">
      <c r="A700" s="18"/>
    </row>
    <row r="701" s="2" customFormat="1" ht="12.75">
      <c r="A701" s="18"/>
    </row>
    <row r="702" s="2" customFormat="1" ht="12.75">
      <c r="A702" s="18"/>
    </row>
    <row r="703" s="2" customFormat="1" ht="12.75">
      <c r="A703" s="18"/>
    </row>
    <row r="704" s="2" customFormat="1" ht="12.75">
      <c r="A704" s="18"/>
    </row>
    <row r="705" s="2" customFormat="1" ht="12.75">
      <c r="A705" s="18"/>
    </row>
    <row r="706" s="2" customFormat="1" ht="12.75">
      <c r="A706" s="18"/>
    </row>
    <row r="707" s="2" customFormat="1" ht="12.75">
      <c r="A707" s="18"/>
    </row>
    <row r="708" s="2" customFormat="1" ht="12.75">
      <c r="A708" s="18"/>
    </row>
    <row r="709" s="2" customFormat="1" ht="12.75">
      <c r="A709" s="18"/>
    </row>
    <row r="710" s="2" customFormat="1" ht="12.75">
      <c r="A710" s="18"/>
    </row>
    <row r="711" s="2" customFormat="1" ht="12.75">
      <c r="A711" s="18"/>
    </row>
    <row r="712" s="2" customFormat="1" ht="12.75">
      <c r="A712" s="18"/>
    </row>
    <row r="713" s="2" customFormat="1" ht="12.75">
      <c r="A713" s="18"/>
    </row>
    <row r="714" s="2" customFormat="1" ht="12.75">
      <c r="A714" s="18"/>
    </row>
    <row r="715" s="2" customFormat="1" ht="12.75">
      <c r="A715" s="18"/>
    </row>
    <row r="716" s="2" customFormat="1" ht="12.75">
      <c r="A716" s="18"/>
    </row>
    <row r="717" s="2" customFormat="1" ht="12.75">
      <c r="A717" s="18"/>
    </row>
    <row r="718" s="2" customFormat="1" ht="12.75">
      <c r="A718" s="18"/>
    </row>
    <row r="719" s="2" customFormat="1" ht="12.75">
      <c r="A719" s="18"/>
    </row>
    <row r="720" s="2" customFormat="1" ht="12.75">
      <c r="A720" s="18"/>
    </row>
    <row r="721" s="2" customFormat="1" ht="12.75">
      <c r="A721" s="18"/>
    </row>
    <row r="722" s="2" customFormat="1" ht="12.75">
      <c r="A722" s="18"/>
    </row>
    <row r="723" s="2" customFormat="1" ht="12.75">
      <c r="A723" s="18"/>
    </row>
    <row r="724" s="2" customFormat="1" ht="12.75">
      <c r="A724" s="18"/>
    </row>
    <row r="725" s="2" customFormat="1" ht="12.75">
      <c r="A725" s="18"/>
    </row>
    <row r="726" s="2" customFormat="1" ht="12.75">
      <c r="A726" s="18"/>
    </row>
    <row r="727" s="2" customFormat="1" ht="12.75">
      <c r="A727" s="18"/>
    </row>
    <row r="728" s="2" customFormat="1" ht="12.75">
      <c r="A728" s="18"/>
    </row>
    <row r="729" s="2" customFormat="1" ht="12.75">
      <c r="A729" s="18"/>
    </row>
    <row r="730" s="2" customFormat="1" ht="12.75">
      <c r="A730" s="18"/>
    </row>
    <row r="731" spans="1:24" s="2" customFormat="1" ht="12.75">
      <c r="A731" s="18"/>
      <c r="J731" s="17"/>
      <c r="K731" s="17"/>
      <c r="L731" s="17"/>
      <c r="M731" s="17"/>
      <c r="N731" s="17"/>
      <c r="O731" s="17"/>
      <c r="P731" s="17"/>
      <c r="Q731" s="17"/>
      <c r="R731" s="17"/>
      <c r="S731" s="17"/>
      <c r="T731" s="17"/>
      <c r="U731" s="17"/>
      <c r="V731" s="17"/>
      <c r="W731" s="17"/>
      <c r="X731" s="17"/>
    </row>
    <row r="732" spans="1:24" s="2" customFormat="1" ht="12.75">
      <c r="A732" s="18"/>
      <c r="J732" s="17"/>
      <c r="K732" s="17"/>
      <c r="L732" s="17"/>
      <c r="M732" s="17"/>
      <c r="N732" s="17"/>
      <c r="O732" s="17"/>
      <c r="P732" s="17"/>
      <c r="Q732" s="17"/>
      <c r="R732" s="17"/>
      <c r="S732" s="17"/>
      <c r="T732" s="17"/>
      <c r="U732" s="17"/>
      <c r="V732" s="17"/>
      <c r="W732" s="17"/>
      <c r="X732" s="17"/>
    </row>
    <row r="733" spans="1:24" s="2" customFormat="1" ht="12.75">
      <c r="A733" s="18"/>
      <c r="J733" s="17"/>
      <c r="K733" s="17"/>
      <c r="L733" s="17"/>
      <c r="M733" s="17"/>
      <c r="N733" s="17"/>
      <c r="O733" s="17"/>
      <c r="P733" s="17"/>
      <c r="Q733" s="17"/>
      <c r="R733" s="17"/>
      <c r="S733" s="17"/>
      <c r="T733" s="17"/>
      <c r="U733" s="17"/>
      <c r="V733" s="17"/>
      <c r="W733" s="17"/>
      <c r="X733" s="17"/>
    </row>
    <row r="734" spans="1:24" s="2" customFormat="1" ht="12.75">
      <c r="A734" s="18"/>
      <c r="J734" s="17"/>
      <c r="K734" s="17"/>
      <c r="L734" s="17"/>
      <c r="M734" s="17"/>
      <c r="N734" s="17"/>
      <c r="O734" s="17"/>
      <c r="P734" s="17"/>
      <c r="Q734" s="17"/>
      <c r="R734" s="17"/>
      <c r="S734" s="17"/>
      <c r="T734" s="17"/>
      <c r="U734" s="17"/>
      <c r="V734" s="17"/>
      <c r="W734" s="17"/>
      <c r="X734" s="17"/>
    </row>
  </sheetData>
  <sheetProtection/>
  <mergeCells count="1">
    <mergeCell ref="J39:X42"/>
  </mergeCells>
  <printOptions horizontalCentered="1"/>
  <pageMargins left="0.5118110236220472" right="0.31496062992125984" top="0.984251968503937" bottom="0.3937007874015748" header="0.5118110236220472" footer="0.5118110236220472"/>
  <pageSetup horizontalDpi="600" verticalDpi="600" orientation="portrait" paperSize="9" scale="95" r:id="rId2"/>
  <rowBreaks count="6" manualBreakCount="6">
    <brk id="52" max="8" man="1"/>
    <brk id="100" max="8" man="1"/>
    <brk id="148" max="8" man="1"/>
    <brk id="198" max="8" man="1"/>
    <brk id="261" max="8" man="1"/>
    <brk id="31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2008-02-29T07:26:47Z</cp:lastPrinted>
  <dcterms:created xsi:type="dcterms:W3CDTF">2004-05-17T03:42:51Z</dcterms:created>
  <dcterms:modified xsi:type="dcterms:W3CDTF">2008-02-29T07:51:37Z</dcterms:modified>
  <cp:category/>
  <cp:version/>
  <cp:contentType/>
  <cp:contentStatus/>
</cp:coreProperties>
</file>